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sah" sheetId="1" r:id="rId4"/>
    <sheet state="visible" name="Souhrná tabulka" sheetId="2" r:id="rId5"/>
    <sheet state="visible" name="Rešerše" sheetId="3" r:id="rId6"/>
    <sheet state="visible" name="Dílčí výpočet I.Zdravotní nákla" sheetId="4" r:id="rId7"/>
    <sheet state="visible" name="Dílčí výpočty II.Farmakoterapie" sheetId="5" r:id="rId8"/>
    <sheet state="visible" name="Dílčí výpočty III.Absenteismus" sheetId="6" r:id="rId9"/>
    <sheet state="visible" name="Dílčí výpočty IV. Prezenteismus" sheetId="7" r:id="rId10"/>
    <sheet state="visible" name="Dílčí výpočty V.PÚ - ušlý zisk" sheetId="8" r:id="rId11"/>
    <sheet state="visible" name="Dílčí výpočty VI.QALY" sheetId="9" r:id="rId12"/>
    <sheet state="visible" name="Dílčí výpočty V.VSL" sheetId="10" r:id="rId13"/>
    <sheet state="visible" name="Pomocná data I. Odhady prevalen" sheetId="11" r:id="rId14"/>
    <sheet state="visible" name="Pomocná data II.PÚ Ž" sheetId="12" r:id="rId15"/>
    <sheet state="visible" name="Pomocná data III.PÚ M" sheetId="13" r:id="rId16"/>
    <sheet state="visible" name="Pomocná data IV.Mzdy a další př" sheetId="14" r:id="rId17"/>
    <sheet state="visible" name="Pomocná data V. PAF" sheetId="15" r:id="rId18"/>
    <sheet state="visible" name="Pomocná data VI.Přehled komorbi" sheetId="16" r:id="rId19"/>
    <sheet state="visible" name="Pomocná data VII.Vliv BMI tabul" sheetId="17" r:id="rId20"/>
    <sheet state="visible" name="Pomocná data VIII.Náklady-Zdroj" sheetId="18" r:id="rId21"/>
  </sheets>
  <definedNames>
    <definedName hidden="1" localSheetId="5" name="_xlnm._FilterDatabase">'Dílčí výpočty III.Absenteismus'!$X$28:$AB$44</definedName>
    <definedName hidden="1" localSheetId="15" name="_xlnm._FilterDatabase">'Pomocná data VI.Přehled komorbi'!$A$1:$B$44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33">
      <text>
        <t xml:space="preserve">======
ID#AAABCHuD9k0
    (2023-12-08 18:25:20)
kat. 80+ přidána pro výpočet průměrné prevalence z GBD 2015
	-Petra Aschermannová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
</t>
      </text>
    </comment>
  </commentList>
</comments>
</file>

<file path=xl/sharedStrings.xml><?xml version="1.0" encoding="utf-8"?>
<sst xmlns="http://schemas.openxmlformats.org/spreadsheetml/2006/main" count="3979" uniqueCount="1139">
  <si>
    <t>Prevalence obezity</t>
  </si>
  <si>
    <t>Odkaz na textový popis náhledového vyčíslení</t>
  </si>
  <si>
    <t>Datum poslední úpravy:</t>
  </si>
  <si>
    <t>14.02.2024.</t>
  </si>
  <si>
    <t>Obsah dokumentu</t>
  </si>
  <si>
    <t>List</t>
  </si>
  <si>
    <t>Popis</t>
  </si>
  <si>
    <t>Náhledové vyčíslení</t>
  </si>
  <si>
    <t>Sourhnná tabulka</t>
  </si>
  <si>
    <t>Sumář výpočtu dle jednotlivých dílčích dopadů</t>
  </si>
  <si>
    <t>Rešerše</t>
  </si>
  <si>
    <t>Dílčí výpočty</t>
  </si>
  <si>
    <t>I.: Zdravotní náklady</t>
  </si>
  <si>
    <t>Zdravotní náklady, vyjma léčiv</t>
  </si>
  <si>
    <t>II.: Farmakoterapie</t>
  </si>
  <si>
    <t xml:space="preserve">Nákady léčiv </t>
  </si>
  <si>
    <t>III.: Absentismus</t>
  </si>
  <si>
    <t>Náklady obezity na pracovní neschopnost</t>
  </si>
  <si>
    <t>IV.: Prezentismu</t>
  </si>
  <si>
    <t>Náklady obezity v souvislosti se sníženou produktivitou během přítomnosti v práci</t>
  </si>
  <si>
    <t xml:space="preserve">V.: Předčasná úmrtnost- ušlý zisk </t>
  </si>
  <si>
    <t>Náklady předčasné úmtnosti, HCA</t>
  </si>
  <si>
    <t>VI.:QALY</t>
  </si>
  <si>
    <t>Monetizace snížené kvality života</t>
  </si>
  <si>
    <t>VII. VSL</t>
  </si>
  <si>
    <t xml:space="preserve">Monetizace předčasné úmrtnosti </t>
  </si>
  <si>
    <t>Pomocná data</t>
  </si>
  <si>
    <t xml:space="preserve">I.: Odhady prevalencí </t>
  </si>
  <si>
    <t>Odhady prevalence obezity</t>
  </si>
  <si>
    <t>II. PÚ Ž</t>
  </si>
  <si>
    <t>Předčasná úmrtnost ženy</t>
  </si>
  <si>
    <t>III.:PÚ M</t>
  </si>
  <si>
    <t xml:space="preserve">Předčasná úmrtnost muži </t>
  </si>
  <si>
    <t>IV.: Mzdy a další předpoklady</t>
  </si>
  <si>
    <t>Mzdy a neplacená práce</t>
  </si>
  <si>
    <t>V.: PAF</t>
  </si>
  <si>
    <t>Populační atributivní funkce</t>
  </si>
  <si>
    <t>VI.: Přehled komorbidit</t>
  </si>
  <si>
    <t xml:space="preserve">Přehled diagnoz </t>
  </si>
  <si>
    <t>VII. Vliv BMI tabulka</t>
  </si>
  <si>
    <t>Pomocná data k vlivu BMI</t>
  </si>
  <si>
    <t>VIII.: Náklady - zdroje</t>
  </si>
  <si>
    <t xml:space="preserve">Rešerše relevantních studií </t>
  </si>
  <si>
    <t>CELKEM (přímé + nepřímé)</t>
  </si>
  <si>
    <t>NÁKLADY PŘÍMÉ: top-down approach</t>
  </si>
  <si>
    <t>Med</t>
  </si>
  <si>
    <t xml:space="preserve"> </t>
  </si>
  <si>
    <t>Zdravotnické</t>
  </si>
  <si>
    <t>Farmakoterapie</t>
  </si>
  <si>
    <t>NÁKLADY NEPŘÍMÉ: human capital approach</t>
  </si>
  <si>
    <t>Including unpaid work</t>
  </si>
  <si>
    <t>Absenteismus</t>
  </si>
  <si>
    <t>Prezenteismus</t>
  </si>
  <si>
    <t>Předčasná úmrtnost (pouze ztracená produktivita)</t>
  </si>
  <si>
    <t>Celkem nepřímé</t>
  </si>
  <si>
    <t>NÁKLADY NEHMOTNÉ</t>
  </si>
  <si>
    <t>Min</t>
  </si>
  <si>
    <t>Max</t>
  </si>
  <si>
    <t>VSL</t>
  </si>
  <si>
    <t>QALY - morbidity = snížená kvalita života</t>
  </si>
  <si>
    <t>Celkem nehmotné</t>
  </si>
  <si>
    <t>Low</t>
  </si>
  <si>
    <t>High</t>
  </si>
  <si>
    <t>CELKEM (vše)</t>
  </si>
  <si>
    <t>ANALÝZA CITLIVOSTI</t>
  </si>
  <si>
    <t>Přímé náklady</t>
  </si>
  <si>
    <t>% změna</t>
  </si>
  <si>
    <t>Nepřímé náklady</t>
  </si>
  <si>
    <t>Celkem</t>
  </si>
  <si>
    <t>Základní scénář</t>
  </si>
  <si>
    <t>-</t>
  </si>
  <si>
    <t>Nízká hodnota RR</t>
  </si>
  <si>
    <t>Vysoká hodnota RR</t>
  </si>
  <si>
    <t>Diskontní míra 2 %</t>
  </si>
  <si>
    <t>Diskontní míra 6 %</t>
  </si>
  <si>
    <t>Bez neplacené práce</t>
  </si>
  <si>
    <t>Prezenteismus 1 den</t>
  </si>
  <si>
    <t>Prezenteismus 3 dny</t>
  </si>
  <si>
    <t>vše</t>
  </si>
  <si>
    <t>obézní</t>
  </si>
  <si>
    <t>Počet žen 15-64 (2018)</t>
  </si>
  <si>
    <t>Počet mužů 15-64 (2018)</t>
  </si>
  <si>
    <t>PŘEHLED STUDIÍ PŘÍMÉ NÁKLADY</t>
  </si>
  <si>
    <t>země</t>
  </si>
  <si>
    <t>rok</t>
  </si>
  <si>
    <t>metoda</t>
  </si>
  <si>
    <t>počet komorbidit</t>
  </si>
  <si>
    <t>populace</t>
  </si>
  <si>
    <t>Nadváha</t>
  </si>
  <si>
    <t>Obezita</t>
  </si>
  <si>
    <t>Procento zdrav. nákladů</t>
  </si>
  <si>
    <t>Poznámka</t>
  </si>
  <si>
    <t>USA</t>
  </si>
  <si>
    <t>1996-2011</t>
  </si>
  <si>
    <t>HCA na základě regrese</t>
  </si>
  <si>
    <t>NA</t>
  </si>
  <si>
    <t>18+</t>
  </si>
  <si>
    <t>$807-2,845*</t>
  </si>
  <si>
    <t>*range: moderate-morbid obesity</t>
  </si>
  <si>
    <t>Švédsko</t>
  </si>
  <si>
    <t>1974-2000</t>
  </si>
  <si>
    <t>30-60 let</t>
  </si>
  <si>
    <t>$269 milionů</t>
  </si>
  <si>
    <t>2.3 %</t>
  </si>
  <si>
    <t>2000-2005</t>
  </si>
  <si>
    <t>20-64</t>
  </si>
  <si>
    <t>20.6 %</t>
  </si>
  <si>
    <t>Severní Irsko</t>
  </si>
  <si>
    <t>prevalenční, top-down přístup</t>
  </si>
  <si>
    <t>neuvedeno</t>
  </si>
  <si>
    <t>€127 milionů</t>
  </si>
  <si>
    <t>Irsko</t>
  </si>
  <si>
    <t>€437 milionů</t>
  </si>
  <si>
    <t>Německo</t>
  </si>
  <si>
    <t>2008-2012</t>
  </si>
  <si>
    <t>prevalenční, bottom-up přístup</t>
  </si>
  <si>
    <t>15+</t>
  </si>
  <si>
    <t>€29.39 miliard</t>
  </si>
  <si>
    <t>2000-2002</t>
  </si>
  <si>
    <t>18-64 ženy</t>
  </si>
  <si>
    <t>$1,071-1,359*</t>
  </si>
  <si>
    <t>office-based visits, hospital outpatient visits, hospital emergency-room visits, hospital inpatient stays, dental visits, home health care, vision aids, other medical equipment and services (e.g., orthopedic items, medical equipment, and disposable supplies), and prescribed medicines</t>
  </si>
  <si>
    <t>18-64 muži</t>
  </si>
  <si>
    <t>$392-1,591*</t>
  </si>
  <si>
    <t>*range: obezita I.-III. stupně</t>
  </si>
  <si>
    <t>Korea</t>
  </si>
  <si>
    <t>20+</t>
  </si>
  <si>
    <t>$270.5 milionů</t>
  </si>
  <si>
    <t>$810.5 milionů</t>
  </si>
  <si>
    <t>3.7 %</t>
  </si>
  <si>
    <t>inpatient care, outpatient care, medication</t>
  </si>
  <si>
    <t>2001-2012</t>
  </si>
  <si>
    <t>18+ ženy</t>
  </si>
  <si>
    <t>18+ muži</t>
  </si>
  <si>
    <t>€4,854 milionů</t>
  </si>
  <si>
    <t>2.1 %</t>
  </si>
  <si>
    <t>inpatient and outpatient treatment,
rehabilitation, health protection, ambulance, administration,
research, education, investments and other facilities</t>
  </si>
  <si>
    <t>Kanada</t>
  </si>
  <si>
    <t>13 (M)
16 (Ž)</t>
  </si>
  <si>
    <t>0+</t>
  </si>
  <si>
    <t>$9.1 milionů</t>
  </si>
  <si>
    <t>$14.2 milionů</t>
  </si>
  <si>
    <t>€8,647 milionů</t>
  </si>
  <si>
    <t>3.27 %</t>
  </si>
  <si>
    <t>Švýcarsko</t>
  </si>
  <si>
    <t>1,077–1,615 milionů</t>
  </si>
  <si>
    <t>2.3-3.5 %</t>
  </si>
  <si>
    <t>léky, nutriční konzultace a operace</t>
  </si>
  <si>
    <t>25+</t>
  </si>
  <si>
    <t>€1.3-2.7 miliard</t>
  </si>
  <si>
    <t>outpatient treatment,medication including over-the-counter drugs, hospitalization, over-the-counter drugs, hospitalization, and rehabilitation</t>
  </si>
  <si>
    <t>PŘEHLED STUDIÍ ABSENTEISMUS</t>
  </si>
  <si>
    <t>jednotka</t>
  </si>
  <si>
    <t>roční náklady na osobu ($)</t>
  </si>
  <si>
    <t>$104-264*</t>
  </si>
  <si>
    <t>$ ročně</t>
  </si>
  <si>
    <t>$3.5 miliard</t>
  </si>
  <si>
    <t>$3.9-6.8 miliard*</t>
  </si>
  <si>
    <t>* range pro obezitu I.-III. stupně</t>
  </si>
  <si>
    <t>€ ročně</t>
  </si>
  <si>
    <t>€235 milionů</t>
  </si>
  <si>
    <t>€/roky</t>
  </si>
  <si>
    <t>€136 milionů/3117 let</t>
  </si>
  <si>
    <t>€3.87 miliard</t>
  </si>
  <si>
    <t>$302-805</t>
  </si>
  <si>
    <t>počet dnů ročně</t>
  </si>
  <si>
    <t>5.2-8.2</t>
  </si>
  <si>
    <t>$70-436</t>
  </si>
  <si>
    <t>3.5-5</t>
  </si>
  <si>
    <t>$74 milionů</t>
  </si>
  <si>
    <t>čas strávený hospitalizací</t>
  </si>
  <si>
    <t>$870**</t>
  </si>
  <si>
    <t>** BMI &gt; 27</t>
  </si>
  <si>
    <t>$615**</t>
  </si>
  <si>
    <t>dny</t>
  </si>
  <si>
    <t>18 +</t>
  </si>
  <si>
    <t>5 875 022 dnů</t>
  </si>
  <si>
    <t>€646 milionů</t>
  </si>
  <si>
    <t>€2.18 miliard</t>
  </si>
  <si>
    <t>1970-2008</t>
  </si>
  <si>
    <t>celoživotní náklady na člověka (€)</t>
  </si>
  <si>
    <t>€15 000</t>
  </si>
  <si>
    <t>€16 100</t>
  </si>
  <si>
    <t>jen muži, sick leave</t>
  </si>
  <si>
    <t xml:space="preserve">další studie: </t>
  </si>
  <si>
    <t>USA: na člověka $79-132, celkem $3.38-6.38 miliard</t>
  </si>
  <si>
    <t>USA: na člověka $77-1033</t>
  </si>
  <si>
    <t>Francie: na člověka $45, celkem $155 milionů</t>
  </si>
  <si>
    <t>Čína: na člověka $364, celkem $44.8 miliard</t>
  </si>
  <si>
    <t>USA: 4.47 miliard</t>
  </si>
  <si>
    <t>USA: 6.38 miliard (ale obezitu definují jinak: BMI&gt;27.3</t>
  </si>
  <si>
    <t>USA: 8.65 miliard ročně (o 1.1-1.7 více dnů v absenci)</t>
  </si>
  <si>
    <t>PŘEHLED STUDIÍ PREZENTEISMUS</t>
  </si>
  <si>
    <t>n</t>
  </si>
  <si>
    <t>pohlaví</t>
  </si>
  <si>
    <t>Normální váha</t>
  </si>
  <si>
    <t>I. stupeň</t>
  </si>
  <si>
    <t>II. stupeň</t>
  </si>
  <si>
    <t xml:space="preserve">III. stupeň </t>
  </si>
  <si>
    <t>ztráta produktivity (%)</t>
  </si>
  <si>
    <t>dohromady</t>
  </si>
  <si>
    <t>0 (base)</t>
  </si>
  <si>
    <t>zde se porovnává normální váha oproti všemu ostatnímu (tzn. podváha + nadváha + obezita)</t>
  </si>
  <si>
    <t>ztráta produktivity (dny)</t>
  </si>
  <si>
    <t>při přepočtu z % na dny se používá předpoklad 250 pracovních dnů ročně</t>
  </si>
  <si>
    <t>N/A</t>
  </si>
  <si>
    <t>ženy</t>
  </si>
  <si>
    <t>6.3 (5.9–6.8)</t>
  </si>
  <si>
    <t>11 (10.7–12.1)</t>
  </si>
  <si>
    <t>22.7 (21.8–23.7)</t>
  </si>
  <si>
    <t>muži</t>
  </si>
  <si>
    <t>2.3 (1.8–2.7)</t>
  </si>
  <si>
    <t>5.8 (4.8–6.7)</t>
  </si>
  <si>
    <t>21.9 (20.5–23.3)</t>
  </si>
  <si>
    <t>Gates, 2008</t>
  </si>
  <si>
    <t>USA (KY)</t>
  </si>
  <si>
    <t>Ve studii je uvedeno, že lidé s obezitou II. a III. stupně mají o 1.18 % nižší pracovní produktivitu než všichni ostatní zaměstnanci, což odpovídá 3 pracovním dnům (ztráty $506 ročně).</t>
  </si>
  <si>
    <t>Goetzel et al., 2010</t>
  </si>
  <si>
    <t>ztráta produktivity ($)</t>
  </si>
  <si>
    <t>při přepočtu z $ na hodiny se používá průměrná hodinová mzda $25.67 (uvedeno ve studii)</t>
  </si>
  <si>
    <t>FRA, DE, IT, ESP, UK</t>
  </si>
  <si>
    <t>16.00±23.31</t>
  </si>
  <si>
    <t>15.63±23.20</t>
  </si>
  <si>
    <t>17.60±24.40</t>
  </si>
  <si>
    <t>20.37±25.46</t>
  </si>
  <si>
    <t>29.20±29.80</t>
  </si>
  <si>
    <t>oproti normální váze</t>
  </si>
  <si>
    <t>pracovníci technického průmyslu, převážně muži - není moc zobecnitelné</t>
  </si>
  <si>
    <t>Ricci &amp; Chee, 2005</t>
  </si>
  <si>
    <t>ztracené hodiny týdně</t>
  </si>
  <si>
    <t>4.2 (3.8–4.6)</t>
  </si>
  <si>
    <t>4.8 (4.2–5.5)</t>
  </si>
  <si>
    <t>PŘEHLED STUDIÍ PŘEDČASNÁ ÚMRTNOST</t>
  </si>
  <si>
    <t>Země</t>
  </si>
  <si>
    <t>Rok</t>
  </si>
  <si>
    <t>Jednotka</t>
  </si>
  <si>
    <t>Diskontní míra</t>
  </si>
  <si>
    <t>Populace</t>
  </si>
  <si>
    <t>3 %</t>
  </si>
  <si>
    <t>$367 milionů</t>
  </si>
  <si>
    <t>$1.9 miliard</t>
  </si>
  <si>
    <t>$6.9-25.9* miliard</t>
  </si>
  <si>
    <t>range pro obezitu I.-III. stupně</t>
  </si>
  <si>
    <t>celoživotní náklady na člověka</t>
  </si>
  <si>
    <t>$182-1006*</t>
  </si>
  <si>
    <t>S Irsko</t>
  </si>
  <si>
    <t>4 %</t>
  </si>
  <si>
    <t>€147 milionů</t>
  </si>
  <si>
    <t>18-75 let</t>
  </si>
  <si>
    <t>€593 milionů</t>
  </si>
  <si>
    <t>počet smrtí</t>
  </si>
  <si>
    <t>101 886</t>
  </si>
  <si>
    <t>počet ztracených let</t>
  </si>
  <si>
    <t>2 072 milionů</t>
  </si>
  <si>
    <t>€23.12 miliard</t>
  </si>
  <si>
    <t>1971-1999</t>
  </si>
  <si>
    <t>počet ztracených let na osobu (YLL)</t>
  </si>
  <si>
    <t>18-85 ženy</t>
  </si>
  <si>
    <t>3-8 let</t>
  </si>
  <si>
    <t>range pro obezitu II.-III. stupně</t>
  </si>
  <si>
    <t>18-85 muži</t>
  </si>
  <si>
    <t>3-13 let</t>
  </si>
  <si>
    <t>6 %</t>
  </si>
  <si>
    <t>56 633</t>
  </si>
  <si>
    <t>$444 milionů</t>
  </si>
  <si>
    <t>5 %</t>
  </si>
  <si>
    <t>36 653</t>
  </si>
  <si>
    <t>€3 381 milionů</t>
  </si>
  <si>
    <t>47 964</t>
  </si>
  <si>
    <t>€5 669 milionů</t>
  </si>
  <si>
    <t>€31 800</t>
  </si>
  <si>
    <t>€52 100</t>
  </si>
  <si>
    <t>PŘÍMÉ NÁKLADY</t>
  </si>
  <si>
    <t>PAF LOW 2018</t>
  </si>
  <si>
    <t>PAF MIDDLE 2018</t>
  </si>
  <si>
    <t>PAF HIGH 2018</t>
  </si>
  <si>
    <t>PAF L</t>
  </si>
  <si>
    <t>PAF M</t>
  </si>
  <si>
    <t>PAF H</t>
  </si>
  <si>
    <t>Náklady přidružené obezitě</t>
  </si>
  <si>
    <t>Diagnóza</t>
  </si>
  <si>
    <t>MKN-10</t>
  </si>
  <si>
    <t>ČR 2018</t>
  </si>
  <si>
    <t>MUŽI</t>
  </si>
  <si>
    <t>ŽENY</t>
  </si>
  <si>
    <t>LOW</t>
  </si>
  <si>
    <t>MIDDLE</t>
  </si>
  <si>
    <t>HIGH</t>
  </si>
  <si>
    <t>Astma</t>
  </si>
  <si>
    <t>J45</t>
  </si>
  <si>
    <t>Chronická bolest zad</t>
  </si>
  <si>
    <t>M54</t>
  </si>
  <si>
    <t>Cukrovka II. typu</t>
  </si>
  <si>
    <t>E11, E13, E14</t>
  </si>
  <si>
    <t>Ischemická choroba srdeční</t>
  </si>
  <si>
    <t>I20 - I25</t>
  </si>
  <si>
    <t>Leukémie</t>
  </si>
  <si>
    <t>C91 - C95</t>
  </si>
  <si>
    <t>Melanom kůže</t>
  </si>
  <si>
    <t>C43, D03</t>
  </si>
  <si>
    <t>Mrtvice</t>
  </si>
  <si>
    <t>I69.4, I64</t>
  </si>
  <si>
    <t>E66.0, E66.2, E66.8, E66.9, E65</t>
  </si>
  <si>
    <t>Onemocnění žlučníku</t>
  </si>
  <si>
    <t>K81, K80</t>
  </si>
  <si>
    <t>Osteoartróza</t>
  </si>
  <si>
    <t>M15 - M19</t>
  </si>
  <si>
    <t>Plicní embolie</t>
  </si>
  <si>
    <t>I26</t>
  </si>
  <si>
    <t>Rakovina endometria (děložní sliznice)</t>
  </si>
  <si>
    <t>C54.1, C55, D07.0, D39.0</t>
  </si>
  <si>
    <t>Rakovina ledvin</t>
  </si>
  <si>
    <t>C64, C65, C66, D30.0 - D30.2</t>
  </si>
  <si>
    <t>Rakovina prsu</t>
  </si>
  <si>
    <t>D05, D24, D48.6, C50</t>
  </si>
  <si>
    <t>Rakovina slinivky</t>
  </si>
  <si>
    <t>C25, D01.7, D13.6, D13.7</t>
  </si>
  <si>
    <t>Rakovina tlustého střeva a konečníku</t>
  </si>
  <si>
    <t>C18, D12.0 - D12.6</t>
  </si>
  <si>
    <t>Rakovina vaječníků</t>
  </si>
  <si>
    <t>C56, D27, D39.1</t>
  </si>
  <si>
    <t>Rakovina žlučníku</t>
  </si>
  <si>
    <t>C23, C24, D13.5</t>
  </si>
  <si>
    <t>Srdeční selhání</t>
  </si>
  <si>
    <t>I50</t>
  </si>
  <si>
    <t>Vysoký tlak</t>
  </si>
  <si>
    <t>I10 - I15</t>
  </si>
  <si>
    <t>Pojištěnci VZP 2018</t>
  </si>
  <si>
    <t>Koeficient ČR</t>
  </si>
  <si>
    <t>PAF ČR</t>
  </si>
  <si>
    <t>Náklady léky ČR (extrapolace VZP)</t>
  </si>
  <si>
    <t>Farma náklady související s obezitou (mil Kč)</t>
  </si>
  <si>
    <t>Skupina</t>
  </si>
  <si>
    <t>ATC skupina</t>
  </si>
  <si>
    <t>Název ATC skupiny</t>
  </si>
  <si>
    <t>VZP (miliony CZK)</t>
  </si>
  <si>
    <t>Hodycová (MZ ČR)</t>
  </si>
  <si>
    <t>Colditz PAF</t>
  </si>
  <si>
    <t>Název PAF</t>
  </si>
  <si>
    <t>MEDIUM</t>
  </si>
  <si>
    <t>Léčba obezity</t>
  </si>
  <si>
    <t>A08</t>
  </si>
  <si>
    <t>Léčiva k léčbě obezity vyjma dietetik</t>
  </si>
  <si>
    <t>Léčba DM</t>
  </si>
  <si>
    <t>A10</t>
  </si>
  <si>
    <t>Antidiabetika</t>
  </si>
  <si>
    <t>DM</t>
  </si>
  <si>
    <t>- na léčbu DM II. typu přijde asi 1/5 léků této skupiny (perorální antidiabetika)</t>
  </si>
  <si>
    <t>Léčba KVO</t>
  </si>
  <si>
    <t>B01</t>
  </si>
  <si>
    <t>Antikoagulancia, antitrombotika</t>
  </si>
  <si>
    <t>KVO</t>
  </si>
  <si>
    <t>C01</t>
  </si>
  <si>
    <t>Srdeční terapie</t>
  </si>
  <si>
    <t>C02</t>
  </si>
  <si>
    <t>Antihypertenziva</t>
  </si>
  <si>
    <t>hypertenze</t>
  </si>
  <si>
    <t>C03</t>
  </si>
  <si>
    <t>Diuretika</t>
  </si>
  <si>
    <t>C07</t>
  </si>
  <si>
    <t>Beta blokátory</t>
  </si>
  <si>
    <t>C08</t>
  </si>
  <si>
    <t>Blokátory kalciového kanálu</t>
  </si>
  <si>
    <t>C09</t>
  </si>
  <si>
    <t>Přípravky působící na renin angiotensinový systém</t>
  </si>
  <si>
    <t>C10</t>
  </si>
  <si>
    <t>Hypolipidemika</t>
  </si>
  <si>
    <t>Léčba zhoubných nádorů</t>
  </si>
  <si>
    <t>L01</t>
  </si>
  <si>
    <t>Cytostatika</t>
  </si>
  <si>
    <t>nádor kolorekta a prsu</t>
  </si>
  <si>
    <t>Léčba artropatií</t>
  </si>
  <si>
    <t>M01</t>
  </si>
  <si>
    <t>Protizánětlivá a protirevmatická léčiva</t>
  </si>
  <si>
    <t>bolesti zad</t>
  </si>
  <si>
    <t>FARMAKOTERAPIE</t>
  </si>
  <si>
    <t>ABSENTEISMUS</t>
  </si>
  <si>
    <t>počet dní v PN v důsledku onemocnění (M/Ž) * PAF * průměrná denní mzda</t>
  </si>
  <si>
    <t>days lost</t>
  </si>
  <si>
    <t>gross wage + unpaid work</t>
  </si>
  <si>
    <t>gross wage</t>
  </si>
  <si>
    <t>Muži (25-64)</t>
  </si>
  <si>
    <t>Počet prostonaných dnů v roce 2017 celkem: 68 904 598</t>
  </si>
  <si>
    <t>Ženy (25-64)</t>
  </si>
  <si>
    <t>prostonané dny v důsledku obezity tvoří 7.58 % celkových prostonaných dnů</t>
  </si>
  <si>
    <t>ZTRACENÉ DNY</t>
  </si>
  <si>
    <t>PAF LOW</t>
  </si>
  <si>
    <t>PAF MEDIUM</t>
  </si>
  <si>
    <t>PAF HIGH</t>
  </si>
  <si>
    <t>divided by 30.5 to get the days lost due to absenteeism per month</t>
  </si>
  <si>
    <t>Věková skupina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</si>
  <si>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</si>
  <si>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</si>
  <si>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</si>
  <si>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</si>
  <si>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</si>
  <si>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</si>
  <si>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</si>
  <si>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</si>
  <si>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</si>
  <si>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25-64 let</t>
  </si>
  <si>
    <t>MEDIUM RR</t>
  </si>
  <si>
    <t>MUŽI (počet dnů v PN v důsledku obezity)</t>
  </si>
  <si>
    <t>Ztracené dny (tis.), věk 25-65</t>
  </si>
  <si>
    <t>age</t>
  </si>
  <si>
    <t>Bolest zad</t>
  </si>
  <si>
    <t>Rakovina endometria (dělohy)</t>
  </si>
  <si>
    <t>Rakovina tlustého střeva</t>
  </si>
  <si>
    <t>Vysoký krevní tlak</t>
  </si>
  <si>
    <t>Muži</t>
  </si>
  <si>
    <t>Ženy</t>
  </si>
  <si>
    <t>Procento</t>
  </si>
  <si>
    <t>25-64</t>
  </si>
  <si>
    <t>ŽENY (počet dnů v PN v důsledku obezity)</t>
  </si>
  <si>
    <t>UŠLÝ ZISK (HM)</t>
  </si>
  <si>
    <t>UŠLÝ ZISK (SHM)</t>
  </si>
  <si>
    <t>UŠLÝ ZISK (SHM + NEPLACENÁ PRÁCE)</t>
  </si>
  <si>
    <t>15-19</t>
  </si>
  <si>
    <t>20-24</t>
  </si>
  <si>
    <t>LOW RR</t>
  </si>
  <si>
    <t>HIGH RR</t>
  </si>
  <si>
    <t>DATA ÚZIS</t>
  </si>
  <si>
    <t>MUŽI (počet dnů v PN celkem, bez některých trojmístných diagnóz)</t>
  </si>
  <si>
    <t>ŽENY (počet dnů v PN celkem , bez některých trojmístných diagnóz)</t>
  </si>
  <si>
    <t>PŮVODNÍ - nadhodnocené</t>
  </si>
  <si>
    <t>MUŽI (počet dnů v PN celkem - ZAHRNUTY VŠECHNY TROJMÍSTNÉ DIAGNÓZY - NADHODNOCENÉ)</t>
  </si>
  <si>
    <t>ŽENY (počet dnů v PN celkem - ZAHRNUTY VŠECHNY TROJMÍSTNÉ DIAGNÓZY - NADHODNOCENÉ)</t>
  </si>
  <si>
    <t>PREZENTEISMUS</t>
  </si>
  <si>
    <t>PLUS NEPLACENÁ PRÁCE</t>
  </si>
  <si>
    <t>BEZ NEPLACENÉ PRÁCE</t>
  </si>
  <si>
    <t>spodní odhad</t>
  </si>
  <si>
    <t>střední odhad</t>
  </si>
  <si>
    <t>horní odhad</t>
  </si>
  <si>
    <t>Kč (prům. mzda * počet dní)</t>
  </si>
  <si>
    <t>Celkem ČR</t>
  </si>
  <si>
    <t>CELKEM muži + ženy</t>
  </si>
  <si>
    <t>Prevalence obezity 25-64 let</t>
  </si>
  <si>
    <t>Počet obézních zaměstnaných lidí 15-64 let</t>
  </si>
  <si>
    <t>UŠLÝ ZISK</t>
  </si>
  <si>
    <t>S NEPLACENOU PRACÍ</t>
  </si>
  <si>
    <t>diskontní míra</t>
  </si>
  <si>
    <t>ŽENY 25+</t>
  </si>
  <si>
    <t>MUŽI 25+</t>
  </si>
  <si>
    <t>POČET ÚMRTÍ přiřaditelných obe</t>
  </si>
  <si>
    <t>pro účely CBA: s neplacenou prací, jen 25-64 let</t>
  </si>
  <si>
    <t>Ž 25-64</t>
  </si>
  <si>
    <t>M 25-64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</si>
  <si>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</si>
  <si>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</si>
  <si>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</si>
  <si>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</si>
  <si>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</si>
  <si>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</si>
  <si>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</si>
  <si>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</si>
  <si>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</si>
  <si>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</si>
  <si>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</si>
  <si>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</si>
  <si>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</si>
  <si>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NPV</t>
  </si>
  <si>
    <t>Ušlý zisk (1 %)</t>
  </si>
  <si>
    <t>Ušlý zisk (3 %)</t>
  </si>
  <si>
    <t>Ušlý zisk (5 %)</t>
  </si>
  <si>
    <t>- Kč</t>
  </si>
  <si>
    <t>Průměrné ROČNÍ mzdy podle věku</t>
  </si>
  <si>
    <t>1. rok jen polovinu placené a neplacené práce, další roky celé</t>
  </si>
  <si>
    <t>POČET ÚMRTÍ PŘIŘADITELNÝCH OBEZITĚ</t>
  </si>
  <si>
    <t>Věk</t>
  </si>
  <si>
    <t>Cukrovka II. Typu</t>
  </si>
  <si>
    <t>Osteosrtróza</t>
  </si>
  <si>
    <t>Celkem PRODUKTIVNÍCH LET</t>
  </si>
  <si>
    <t>Celkem NEPRODUKTIVNÍCH LET</t>
  </si>
  <si>
    <t>ZÁTĚŽ ONEMOCNĚNÍ (koncept QALY)</t>
  </si>
  <si>
    <t>Počet obézních žen (18+)</t>
  </si>
  <si>
    <t>Počet obézních mužů (18+)</t>
  </si>
  <si>
    <t>Počet obézních Čechů</t>
  </si>
  <si>
    <t>Česko (na osobu)</t>
  </si>
  <si>
    <t>Česko (lost QALY)</t>
  </si>
  <si>
    <t>CZK</t>
  </si>
  <si>
    <t>QALY lost per person (total):</t>
  </si>
  <si>
    <t>morbidity QALY (YLD)</t>
  </si>
  <si>
    <t>mortality QALY (YLL)</t>
  </si>
  <si>
    <t>ODHAD NEHMOTNÝCH NÁKLADŮ (ČÁST VSL)</t>
  </si>
  <si>
    <t>Ztracené roky života v důsledku obezity</t>
  </si>
  <si>
    <t>VSL (spodní hranice)</t>
  </si>
  <si>
    <t>Alberini et al., 2005</t>
  </si>
  <si>
    <t>VSL (horní hranice)</t>
  </si>
  <si>
    <t>GA</t>
  </si>
  <si>
    <t>Očekávaná délka života</t>
  </si>
  <si>
    <t>ČSÚ, 2018</t>
  </si>
  <si>
    <t>Průměrný věk</t>
  </si>
  <si>
    <t>VSL obezita (low)</t>
  </si>
  <si>
    <t>VSL obezita (high)</t>
  </si>
  <si>
    <t>Náklady QALY</t>
  </si>
  <si>
    <t>Náklady mortalita</t>
  </si>
  <si>
    <t>Celkem VSL (bez mortality a QALY)</t>
  </si>
  <si>
    <t>Shrnující tabulka: Prevalence obezity podle dat zkombinovaných z EHES a EHIS, 2019</t>
  </si>
  <si>
    <t xml:space="preserve">PĚTILETÉ VĚKOVÉ SKUPINY </t>
  </si>
  <si>
    <t>Pětileté VS za použití desetiletých dat</t>
  </si>
  <si>
    <t>Věkové kategorie</t>
  </si>
  <si>
    <t>Popis dat plná studie nebo na vyžádání</t>
  </si>
  <si>
    <t>65-69</t>
  </si>
  <si>
    <t>70-74</t>
  </si>
  <si>
    <t>Průměr</t>
  </si>
  <si>
    <t>Vážený průměr</t>
  </si>
  <si>
    <t>Vážený průměr 15-64</t>
  </si>
  <si>
    <t>EHES 2014: věková kategorie 25-64 let</t>
  </si>
  <si>
    <t>EHES 2019</t>
  </si>
  <si>
    <t>EHIS 2019</t>
  </si>
  <si>
    <t>15-24</t>
  </si>
  <si>
    <t>25-34</t>
  </si>
  <si>
    <t>35-44</t>
  </si>
  <si>
    <t>Total</t>
  </si>
  <si>
    <t>45-54</t>
  </si>
  <si>
    <t>55-64</t>
  </si>
  <si>
    <t>EHIS 2014: věková kategorie 15+</t>
  </si>
  <si>
    <t>65-74</t>
  </si>
  <si>
    <t>Obezita 
 (BMI &gt;= 30)</t>
  </si>
  <si>
    <t>STRUKTURA EHIS vzorku</t>
  </si>
  <si>
    <t>Absolutní počet</t>
  </si>
  <si>
    <t>Struktura nevážená</t>
  </si>
  <si>
    <t>Struktura vážená</t>
  </si>
  <si>
    <t>Podíl v populaci dle VŠPS</t>
  </si>
  <si>
    <t>9,2%</t>
  </si>
  <si>
    <t>13,2%</t>
  </si>
  <si>
    <t>12,8%</t>
  </si>
  <si>
    <t>7,0%</t>
  </si>
  <si>
    <t>10,5%</t>
  </si>
  <si>
    <t>11,6%</t>
  </si>
  <si>
    <t>12,5%</t>
  </si>
  <si>
    <t>17,1%</t>
  </si>
  <si>
    <t>9,9%</t>
  </si>
  <si>
    <t>14,9%</t>
  </si>
  <si>
    <t>15,4%</t>
  </si>
  <si>
    <t>15,3%</t>
  </si>
  <si>
    <t>19,5%</t>
  </si>
  <si>
    <t>20,7%</t>
  </si>
  <si>
    <t>13,3%</t>
  </si>
  <si>
    <t>19,7%</t>
  </si>
  <si>
    <t>18,6%</t>
  </si>
  <si>
    <t>15,2%</t>
  </si>
  <si>
    <t>15,9%</t>
  </si>
  <si>
    <t>11,3%</t>
  </si>
  <si>
    <t>14,6%</t>
  </si>
  <si>
    <t>19,3%</t>
  </si>
  <si>
    <t>16,3%</t>
  </si>
  <si>
    <t>15,7%</t>
  </si>
  <si>
    <t>17,9%</t>
  </si>
  <si>
    <t>15,8%</t>
  </si>
  <si>
    <t>19,1%</t>
  </si>
  <si>
    <t>11,7%</t>
  </si>
  <si>
    <t>11,8%</t>
  </si>
  <si>
    <t>22,4%</t>
  </si>
  <si>
    <t>14,2%</t>
  </si>
  <si>
    <t>13,8%</t>
  </si>
  <si>
    <t>75-84</t>
  </si>
  <si>
    <t>9,6%</t>
  </si>
  <si>
    <t>5,7%</t>
  </si>
  <si>
    <t>4,8%</t>
  </si>
  <si>
    <t>14,1%</t>
  </si>
  <si>
    <t>7,9%</t>
  </si>
  <si>
    <t>7,4%</t>
  </si>
  <si>
    <t>85+</t>
  </si>
  <si>
    <t>2,5%</t>
  </si>
  <si>
    <t>1,3%</t>
  </si>
  <si>
    <t>1,2%</t>
  </si>
  <si>
    <t>4,1%</t>
  </si>
  <si>
    <t>2,1%</t>
  </si>
  <si>
    <t>2,8%</t>
  </si>
  <si>
    <t>100,0%</t>
  </si>
  <si>
    <t>NÁSTŘEL DAT I S DĚTMI</t>
  </si>
  <si>
    <t>Zdroj pro PAF</t>
  </si>
  <si>
    <t>0-4</t>
  </si>
  <si>
    <t>5-9</t>
  </si>
  <si>
    <t>10-14</t>
  </si>
  <si>
    <t>Průměr 20+</t>
  </si>
  <si>
    <t>Věková struktura populace ČR</t>
  </si>
  <si>
    <t>Obezita (prevalence)</t>
  </si>
  <si>
    <t>0-14</t>
  </si>
  <si>
    <t>65 a více</t>
  </si>
  <si>
    <t>Vážený průměr 15-65</t>
  </si>
  <si>
    <t>Data z GBD, 2015</t>
  </si>
  <si>
    <t>75-79</t>
  </si>
  <si>
    <t>80+</t>
  </si>
  <si>
    <t>Celkem dospělí (20+)</t>
  </si>
  <si>
    <t>VĚKOVÁ STRUKTURA OBYVATELSTVA (k 1.1.2022)</t>
  </si>
  <si>
    <t>STRUKTURA OBYVATELSTVA DLE 5LETÝCH SKUPIN</t>
  </si>
  <si>
    <t>100+</t>
  </si>
  <si>
    <t>Průměrný věk
 Average age</t>
  </si>
  <si>
    <t>CELKEM</t>
  </si>
  <si>
    <t>Celkem 18+</t>
  </si>
  <si>
    <t>PŘEDČASNÁ ÚMRTÍ ŽENY</t>
  </si>
  <si>
    <t>75 - 79</t>
  </si>
  <si>
    <t>80 - 84</t>
  </si>
  <si>
    <t>85 - 89</t>
  </si>
  <si>
    <t>90 - 94</t>
  </si>
  <si>
    <t>95+</t>
  </si>
  <si>
    <t>VÝPOČET CELKOVÝCH ZTRACENÝCH LET V DŮSLEDKU OBEZITY</t>
  </si>
  <si>
    <t>1. ZTRACENÉ ROKY ŽIVOTA CELKEM</t>
  </si>
  <si>
    <t>&gt;100</t>
  </si>
  <si>
    <t>2. ZTRACENÉ PRODUKTIVNÍ ROKY ŽIVOTA</t>
  </si>
  <si>
    <t>3. ZTRACENÉ ROKY ŽIVOTA PŘIŘADITELNÉ OBEZITĚ</t>
  </si>
  <si>
    <t>POČET ZTRACENÝCH LET V DŮSL. OBEZITY ŽENY</t>
  </si>
  <si>
    <t>4. ZTRACENÉ PRODUKTIVNÍ ROKY ŽIVOTA PŘIŘADITELNÉ OBEZITĚ</t>
  </si>
  <si>
    <t>5. ZTRACENÉ NEPRODUKTIVNÍ ROKY ŽIVOTA</t>
  </si>
  <si>
    <t>ztracené roky</t>
  </si>
  <si>
    <t>Ušlý zisk (2 %)</t>
  </si>
  <si>
    <t>Ušlý zisk (4 %)</t>
  </si>
  <si>
    <t>Ušlý zisk (6 %)</t>
  </si>
  <si>
    <t>2 %</t>
  </si>
  <si>
    <t>PŘEDČASNÁ ÚMRTÍ MUŽI</t>
  </si>
  <si>
    <t>POČET ZTRACENÝCH LET V DŮSL. OBEZITY MUŽI</t>
  </si>
  <si>
    <t>Průměrná hrubá měsíční mzda, rok 2018</t>
  </si>
  <si>
    <t>Superhrubá mzda</t>
  </si>
  <si>
    <t>SHM + neplacená práce</t>
  </si>
  <si>
    <t>do 19 let</t>
  </si>
  <si>
    <t>od 20 do 24 let</t>
  </si>
  <si>
    <t>od 25 do 29 let</t>
  </si>
  <si>
    <t>od 30 do 34 let</t>
  </si>
  <si>
    <t>od 35 do 39 let</t>
  </si>
  <si>
    <t>od 40 do 44 let</t>
  </si>
  <si>
    <t>od 45 do 49 let</t>
  </si>
  <si>
    <t>od 50 do 54 let</t>
  </si>
  <si>
    <t>jen neplacená práce (pro PÚ)</t>
  </si>
  <si>
    <t>od 55 do 59 let</t>
  </si>
  <si>
    <t>od 60 do 64 let</t>
  </si>
  <si>
    <t>ženy odchod do důchodu 62.7, muži 63.2)</t>
  </si>
  <si>
    <t>od 65 a více let</t>
  </si>
  <si>
    <t>VALUE OF STATISTICAL LIFE/QALY</t>
  </si>
  <si>
    <t>VSL na 1 rok</t>
  </si>
  <si>
    <t>78: průměrný věk dožití</t>
  </si>
  <si>
    <t>VSL = 91.954</t>
  </si>
  <si>
    <t>milionů</t>
  </si>
  <si>
    <t>QALY</t>
  </si>
  <si>
    <t>SÚKL</t>
  </si>
  <si>
    <t>DENNÍ MZDA</t>
  </si>
  <si>
    <t>SHM</t>
  </si>
  <si>
    <t>NEPLACENÁ PRÁCE</t>
  </si>
  <si>
    <t>h/den</t>
  </si>
  <si>
    <t>den/Kč</t>
  </si>
  <si>
    <t>měsíčně/Kč</t>
  </si>
  <si>
    <t>zdroj AVČR</t>
  </si>
  <si>
    <t>Počet pracovních hodin týdně</t>
  </si>
  <si>
    <t>Průměrný plat cleaning services</t>
  </si>
  <si>
    <t>zdroj ISPV</t>
  </si>
  <si>
    <t>Počet týdnů v měsíci</t>
  </si>
  <si>
    <t>Odpracují měsíčně</t>
  </si>
  <si>
    <t>Počet hodin denně</t>
  </si>
  <si>
    <t>Hodinová mzda</t>
  </si>
  <si>
    <t>Počet zaměstnaných
 15-64letých (tisíce)</t>
  </si>
  <si>
    <t>celkem</t>
  </si>
  <si>
    <t>M 01</t>
  </si>
  <si>
    <t>M 02</t>
  </si>
  <si>
    <t>M 03</t>
  </si>
  <si>
    <t>M 04</t>
  </si>
  <si>
    <t>M 05</t>
  </si>
  <si>
    <t>M 06</t>
  </si>
  <si>
    <t>M 07</t>
  </si>
  <si>
    <t>M 08</t>
  </si>
  <si>
    <t>M 09</t>
  </si>
  <si>
    <t>M 10</t>
  </si>
  <si>
    <t>M 11</t>
  </si>
  <si>
    <t>M 12</t>
  </si>
  <si>
    <t>Eurostat</t>
  </si>
  <si>
    <t>Počet zaměstnaných (tisíce)</t>
  </si>
  <si>
    <t>15-64</t>
  </si>
  <si>
    <t>nízká</t>
  </si>
  <si>
    <t>střední</t>
  </si>
  <si>
    <t>vysoká</t>
  </si>
  <si>
    <t>Diskontní míra (GA)</t>
  </si>
  <si>
    <t>VÝPOČET PAF PRO RŮZNÉ VĚKOVÉ SKUPINY A ONEMOCNĚNÍ</t>
  </si>
  <si>
    <t>PAF = (P*(RR-1)) / (P*(RR-1)+1)</t>
  </si>
  <si>
    <t>RR = relative comorbidity risk - ze zahr. studií - vyjadřuje, kolikrát je mezi obézními vyšší pravděpodobnost výskytu dané nemoci v porovnání s normální váhou, P = prevalence (míra obezity v ČR)</t>
  </si>
  <si>
    <t>Podle Guh et al. (2009), Dobbins et al. (2013) je obezita signifikantně spojená s onemocněními níže:</t>
  </si>
  <si>
    <t>PAF = populační atributivní frakce (za kolik % případů nemoci je  zodpovědná obezita)</t>
  </si>
  <si>
    <t>PAF MEDIUM MUŽI</t>
  </si>
  <si>
    <t>RR</t>
  </si>
  <si>
    <t>p \ Kód ÚZIS</t>
  </si>
  <si>
    <t>25-27</t>
  </si>
  <si>
    <t>4,12</t>
  </si>
  <si>
    <t>37, 38</t>
  </si>
  <si>
    <t>28-32</t>
  </si>
  <si>
    <t>40-41</t>
  </si>
  <si>
    <t>6,7,14,22</t>
  </si>
  <si>
    <t>9,21</t>
  </si>
  <si>
    <t>5, 13, 19, 24</t>
  </si>
  <si>
    <t>3, 11, 17, 18</t>
  </si>
  <si>
    <t>2,16</t>
  </si>
  <si>
    <t>20-25</t>
  </si>
  <si>
    <t>PAF MEDIUM ŽENY</t>
  </si>
  <si>
    <t>PAF LOW MUŽI</t>
  </si>
  <si>
    <t>PAF LOW ŽENY</t>
  </si>
  <si>
    <t>PAF HIGH MUŽI</t>
  </si>
  <si>
    <t>PAF HIGH ŽENY</t>
  </si>
  <si>
    <t>prevalence M</t>
  </si>
  <si>
    <t>prevalence Ž</t>
  </si>
  <si>
    <t>PAF MEDIUM souhrnně</t>
  </si>
  <si>
    <t>PAF LOW souhrnně</t>
  </si>
  <si>
    <t>RR M</t>
  </si>
  <si>
    <t>RR Ž</t>
  </si>
  <si>
    <t>PAF HIGH souhrnně</t>
  </si>
  <si>
    <t>Onemocnění</t>
  </si>
  <si>
    <t>Kód dle MKN-10</t>
  </si>
  <si>
    <t>E11</t>
  </si>
  <si>
    <t>E13</t>
  </si>
  <si>
    <t>E14</t>
  </si>
  <si>
    <t>I20-25</t>
  </si>
  <si>
    <t>C91-95</t>
  </si>
  <si>
    <t>C43</t>
  </si>
  <si>
    <t>D03</t>
  </si>
  <si>
    <t>I64</t>
  </si>
  <si>
    <t>I69.4</t>
  </si>
  <si>
    <t>E65</t>
  </si>
  <si>
    <t>E66.0</t>
  </si>
  <si>
    <t>E66.2</t>
  </si>
  <si>
    <t>E66.8</t>
  </si>
  <si>
    <t>E66.9</t>
  </si>
  <si>
    <t>K80</t>
  </si>
  <si>
    <t>K81</t>
  </si>
  <si>
    <t>M15-19</t>
  </si>
  <si>
    <t>C54.1</t>
  </si>
  <si>
    <t>C55</t>
  </si>
  <si>
    <t>D07.0</t>
  </si>
  <si>
    <t>D39.0</t>
  </si>
  <si>
    <t>C64-66</t>
  </si>
  <si>
    <t>D30.0-30.2</t>
  </si>
  <si>
    <t>C50</t>
  </si>
  <si>
    <t>D05</t>
  </si>
  <si>
    <t>D24</t>
  </si>
  <si>
    <t>D48.6</t>
  </si>
  <si>
    <t>C25</t>
  </si>
  <si>
    <t>D01.7</t>
  </si>
  <si>
    <t>D13.6</t>
  </si>
  <si>
    <t>D13.7</t>
  </si>
  <si>
    <t>C18</t>
  </si>
  <si>
    <t>D12-12.6</t>
  </si>
  <si>
    <t>C56</t>
  </si>
  <si>
    <t>D27</t>
  </si>
  <si>
    <t>D39.1</t>
  </si>
  <si>
    <t>C23-24</t>
  </si>
  <si>
    <t>D13.5</t>
  </si>
  <si>
    <t>I10-15</t>
  </si>
  <si>
    <t>18-25</t>
  </si>
  <si>
    <t>25-30</t>
  </si>
  <si>
    <t>30-35</t>
  </si>
  <si>
    <t>35-40</t>
  </si>
  <si>
    <t>40+</t>
  </si>
  <si>
    <t>Mortalita</t>
  </si>
  <si>
    <t>normální váha (BMI 18 - 25)</t>
  </si>
  <si>
    <t>Nadváha
(BMI 25-30)</t>
  </si>
  <si>
    <t>Obezita I
(BMI 30-35)</t>
  </si>
  <si>
    <t>Obezita II
(BMI 35-40)</t>
  </si>
  <si>
    <t>Obezita III
(BMI 40+)</t>
  </si>
  <si>
    <t>muži i ženy</t>
  </si>
  <si>
    <t>both (avarage)</t>
  </si>
  <si>
    <t>all average</t>
  </si>
  <si>
    <t>absenteismus</t>
  </si>
  <si>
    <t>poměr</t>
  </si>
  <si>
    <t>počet hodin absence ročně (poměr)</t>
  </si>
  <si>
    <t>Belgie</t>
  </si>
  <si>
    <t>dny kdy nepřišli kvůli nemoci</t>
  </si>
  <si>
    <t>absenteismus během předchozího týdne (poměr)</t>
  </si>
  <si>
    <t>Studie s výpočtem průměrů</t>
  </si>
  <si>
    <t>f</t>
  </si>
  <si>
    <t>m</t>
  </si>
  <si>
    <t>Dopočteno</t>
  </si>
  <si>
    <t>both</t>
  </si>
  <si>
    <t>Výpočet pro finální užití</t>
  </si>
  <si>
    <t>Průměr pohlaví, kde dělená data</t>
  </si>
  <si>
    <t>Průměr spočtený ze zcela všech</t>
  </si>
  <si>
    <t>Finální výsledek</t>
  </si>
  <si>
    <t>Data snížena proporčně dle výsledků průměru všech</t>
  </si>
  <si>
    <t>Kontrola, že souhlasí</t>
  </si>
  <si>
    <t>prezenteismus</t>
  </si>
  <si>
    <t>Gupta et al. (2015)</t>
  </si>
  <si>
    <t>ztracené hodiny týdně (poměr)</t>
  </si>
  <si>
    <t>Finkelstein (2010)</t>
  </si>
  <si>
    <t>dní prezenteismu ročně navíc</t>
  </si>
  <si>
    <t>baseline</t>
  </si>
  <si>
    <t>Ricci &amp; Chee (2005)</t>
  </si>
  <si>
    <t>dny kdy přišli nemocní do práce (poměr)</t>
  </si>
  <si>
    <t>prezenteismus během předchozího týdne (poměr)</t>
  </si>
  <si>
    <t>dny dopočítáno z uvedeného základu 250</t>
  </si>
  <si>
    <t>rakovina střeva</t>
  </si>
  <si>
    <t>Rakousko</t>
  </si>
  <si>
    <t>šance objevení se nemoci během 10 let</t>
  </si>
  <si>
    <t>Finland</t>
  </si>
  <si>
    <t>Pakistan</t>
  </si>
  <si>
    <t>diabetes 2</t>
  </si>
  <si>
    <t>prevalence komorbidity</t>
  </si>
  <si>
    <t>nemocnost</t>
  </si>
  <si>
    <t>ženy i muži</t>
  </si>
  <si>
    <t>nemoci žlučníku</t>
  </si>
  <si>
    <t>muži a ženy</t>
  </si>
  <si>
    <t xml:space="preserve">ZR: </t>
  </si>
  <si>
    <t>Authors (Year)</t>
  </si>
  <si>
    <r>
      <rPr>
        <rFont val="Arial"/>
        <b/>
        <color rgb="FF000000"/>
        <sz val="10.0"/>
      </rPr>
      <t xml:space="preserve">Title or </t>
    </r>
    <r>
      <rPr>
        <rFont val="Arial"/>
        <b/>
        <i/>
        <color rgb="FF000000"/>
        <sz val="10.0"/>
      </rPr>
      <t>Objective</t>
    </r>
  </si>
  <si>
    <t>Country</t>
  </si>
  <si>
    <t>Direct costs</t>
  </si>
  <si>
    <t>Indirect costs</t>
  </si>
  <si>
    <t>Intangible costs</t>
  </si>
  <si>
    <t>Value of costs</t>
  </si>
  <si>
    <t xml:space="preserve"> Costs (bn)</t>
  </si>
  <si>
    <t>% of GDP</t>
  </si>
  <si>
    <t>Healthcare expenses</t>
  </si>
  <si>
    <t>GDP of country (bn)</t>
  </si>
  <si>
    <t>Diseases included</t>
  </si>
  <si>
    <t>Diabetes cost share</t>
  </si>
  <si>
    <t>CVDs cost share</t>
  </si>
  <si>
    <t>Musculo-skeletal disorders cost share</t>
  </si>
  <si>
    <t>Digestive diseases cost share</t>
  </si>
  <si>
    <t>Respiratory disorders cost share</t>
  </si>
  <si>
    <t>Obesity and overweight cost share</t>
  </si>
  <si>
    <t>Cancer cost share</t>
  </si>
  <si>
    <t>Target group (N)</t>
  </si>
  <si>
    <t>Used methods</t>
  </si>
  <si>
    <t>Number of pages (without front pages, Reference list, etc.)</t>
  </si>
  <si>
    <t>Number of cited sources</t>
  </si>
  <si>
    <t>URL</t>
  </si>
  <si>
    <t>Comments</t>
  </si>
  <si>
    <t>Goettler (2017)</t>
  </si>
  <si>
    <t>Productivity loss due to overweight and obesity: a systematic review of indirect costs</t>
  </si>
  <si>
    <t>Mostly USA</t>
  </si>
  <si>
    <t>absenteeism, presenteeism</t>
  </si>
  <si>
    <t>http://sci-hub.tw/http://dx.doi.org/10.1136/bmjopen-2016-014632</t>
  </si>
  <si>
    <t>Tremmel (2017)</t>
  </si>
  <si>
    <t>Economic Burden of Obesity: A Systematic Literature Review</t>
  </si>
  <si>
    <t>mostly Germany and USA</t>
  </si>
  <si>
    <t>http://sci-hub.tw/https://doi.org/10.3390/ijerph14040435</t>
  </si>
  <si>
    <t>http://sci-hub.tw/https://doi.org/10.1016/j.pop.2015.08.013</t>
  </si>
  <si>
    <t>https://pdfs.semanticscholar.org/9c90/f933c93bb4e3c56b6710b8a279c17031a1e3.pdf</t>
  </si>
  <si>
    <t>Birmingham (1999)</t>
  </si>
  <si>
    <t>Canada (1997)</t>
  </si>
  <si>
    <t>average</t>
  </si>
  <si>
    <t>1.1% of HC</t>
  </si>
  <si>
    <t>http://sci-hub.tw/https://doi.org/10.1016/S0828-282X(09)70098-4</t>
  </si>
  <si>
    <t>Tackling obesities: future choices</t>
  </si>
  <si>
    <t>UK (2007)</t>
  </si>
  <si>
    <t>http://citeseerx.ist.psu.edu/viewdoc/download?doi=10.1.1.629.2896&amp;rep=rep1&amp;type=pdf</t>
  </si>
  <si>
    <t>Alter et al (2012)</t>
  </si>
  <si>
    <t>To estimate long-term health care expenditures</t>
  </si>
  <si>
    <t>Canada (2005)</t>
  </si>
  <si>
    <t>Hospitalization costs, visits to the GP, medication, cardiac procedural costs</t>
  </si>
  <si>
    <t>diabetes, hypertension, mental disorders</t>
  </si>
  <si>
    <t>&lt;65 years, BMI &gt;= 18.5 (9 398)</t>
  </si>
  <si>
    <t>Prevalence-based, bottom-up approach, retrospective</t>
  </si>
  <si>
    <t>http://sci-hub.tw/https://doi.org/10.1186/1472-6963-12-238</t>
  </si>
  <si>
    <t>An (2015)</t>
  </si>
  <si>
    <t>To estimate annual health care expenses by modelling</t>
  </si>
  <si>
    <t>Out-of-pocket expenses, inpatient and outpatient costs, office-based medical provider services, emergency room services, medication</t>
  </si>
  <si>
    <t>Annual per-capita costs: US $6899 (2011)</t>
  </si>
  <si>
    <t>&gt;= 18 years (125 955)</t>
  </si>
  <si>
    <t>2 part-model; Prevalence-based, bottom-up approach, retrospective</t>
  </si>
  <si>
    <t>http://sci-hub.tw/https://doi.org/10.1016/j.puhe.2014.11.003</t>
  </si>
  <si>
    <t>jen rozepsáno podle toho co se platí, ne nemoci</t>
  </si>
  <si>
    <t>Andreyeva et al. (2014)</t>
  </si>
  <si>
    <t>To estimate annual productivity loss</t>
  </si>
  <si>
    <t>USA (2012)</t>
  </si>
  <si>
    <t>Loss of productivity due to work absenteeism</t>
  </si>
  <si>
    <r>
      <rPr>
        <rFont val="Arial"/>
        <color theme="1"/>
        <sz val="10.0"/>
      </rPr>
      <t xml:space="preserve">US $8.65 billion (2012) - </t>
    </r>
    <r>
      <rPr>
        <rFont val="Arial"/>
        <b/>
        <color theme="1"/>
        <sz val="10.0"/>
      </rPr>
      <t>absenteeism</t>
    </r>
    <r>
      <rPr>
        <rFont val="Arial"/>
        <color rgb="FF000000"/>
        <sz val="10.0"/>
      </rPr>
      <t xml:space="preserve"> only</t>
    </r>
  </si>
  <si>
    <t>employed American adults (14 975)</t>
  </si>
  <si>
    <t>http://sci-hub.tw/https://doi.org/10.1097/JOM.0000000000000298</t>
  </si>
  <si>
    <t>Bahia et al. (2012)</t>
  </si>
  <si>
    <t>To estimate health care costs</t>
  </si>
  <si>
    <t>Brazil (2010)</t>
  </si>
  <si>
    <t>Inpatient and outpatient costs</t>
  </si>
  <si>
    <t>healthcare costs: US $2.1 billion (2010), of obesity costs: Hospitalizations make up 68.4% of that number; overweight and obesity 11%; diseases: CVDs 34.7%, asthma 1.6%, diabetes 1.1%, osteoarthritis 0.2%, coronary artery disease is 60.5% of CVDs</t>
  </si>
  <si>
    <t>diabetes, CVDs, hypertension, cancer, respiratory disorders, musculo-skeletal disorders</t>
  </si>
  <si>
    <t>Brazilians &gt;=18 yrs (54 339)</t>
  </si>
  <si>
    <t>Prevalence-based, top-down approach, retrospective</t>
  </si>
  <si>
    <t>http://sci-hub.tw/https://doi.org/10.1186/1471-2458-12-440</t>
  </si>
  <si>
    <t>Cawley &amp; Meyer-hoefer (2012)</t>
  </si>
  <si>
    <t>To estimate annual direct health care costs</t>
  </si>
  <si>
    <t>USA (2005)</t>
  </si>
  <si>
    <t>Inpatient and outpatient costs, medication, dental, vision, home health care services and medical equipment</t>
  </si>
  <si>
    <r>
      <rPr>
        <rFont val="Arial"/>
        <color theme="1"/>
        <sz val="10.0"/>
      </rPr>
      <t xml:space="preserve">Annual per-capita </t>
    </r>
    <r>
      <rPr>
        <rFont val="Arial"/>
        <b/>
        <color theme="1"/>
        <sz val="10.0"/>
      </rPr>
      <t>medical</t>
    </r>
    <r>
      <rPr>
        <rFont val="Arial"/>
        <color rgb="FF000000"/>
        <sz val="10.0"/>
      </rPr>
      <t xml:space="preserve"> costs: US $2741 (2005)</t>
    </r>
  </si>
  <si>
    <t>20-64 yrs (23 689)</t>
  </si>
  <si>
    <t>2 PM; prevalencebased, top-down approach, retrospective</t>
  </si>
  <si>
    <t>http://sci-hub.tw/https://doi.org/10.1016/j.jhealeco.2011.10.003</t>
  </si>
  <si>
    <t>De Oliveira et al. (2015)</t>
  </si>
  <si>
    <t>Brazil (2011)</t>
  </si>
  <si>
    <t>Inpatient and outpatient costs, bariatric surgery, medications, orthotics, prosthetics, medical consultations and diagnostic procedures</t>
  </si>
  <si>
    <r>
      <rPr>
        <rFont val="Arial"/>
        <color theme="1"/>
        <sz val="10.0"/>
      </rPr>
      <t>Total costs:</t>
    </r>
    <r>
      <rPr>
        <rFont val="Arial"/>
        <b/>
        <color theme="1"/>
        <sz val="10.0"/>
      </rPr>
      <t xml:space="preserve"> direct </t>
    </r>
    <r>
      <rPr>
        <rFont val="Arial"/>
        <color rgb="FF000000"/>
        <sz val="10.0"/>
      </rPr>
      <t xml:space="preserve">US $269.6 million (2011), of obesity costs: asthma 1.4%, breast cancer 6.3%, cholelithiasis and cholecystitis 4.7%, chronic back pain 4.0%, colon cancer 5.2%, congestive heart failure 6.0%, endometrial cancer 3.3%, esophageal cancer 2.7%, gallbladder cancer 0.2%, gastric cancer 0.9%, hypertension 1.4%, ischemic heart disease 34.1%, kidney cancer 1.0%, leukemia 4.9%, malignant melanoma 0.2ˇ, multiple melanoma 0.7%, non-hodgkin lymphoma 1.0%, obesity (bariatric surgery) 6.6%, osteoarthritis 2.7%, ovarian cancer 1.1%, pancreatic cancer 1.6%, pancreatitis 0.8%, pulmonary embolism 0.5%, rectum cancer 0.7%, stroke 2.1%, thyroid cancer 0.3% type 2 diabetes 5.5% </t>
    </r>
  </si>
  <si>
    <t>All Brazilians with acces to the public health system (188 461)</t>
  </si>
  <si>
    <t>http://sci-hub.tw/https://doi.org/10.1371/journal.pone.0121160</t>
  </si>
  <si>
    <t>Doherty et al. (2012)</t>
  </si>
  <si>
    <t>Ireland (2007)</t>
  </si>
  <si>
    <t>Visits to the GP, inpatient costs, day case (inpatient)</t>
  </si>
  <si>
    <t>Total costs: 41 million (primary &amp; secondary health care) (-)</t>
  </si>
  <si>
    <t>41 million euro</t>
  </si>
  <si>
    <t>&gt;= 18 yrs (10 184)</t>
  </si>
  <si>
    <t>Bottom-up approach, retrospective</t>
  </si>
  <si>
    <t>https://www.esr.ie/article/view/48</t>
  </si>
  <si>
    <t>strana 12-13 má nějakou statistiku nemocí při návštěvách doktora ale nejsou přímo žádné procenta</t>
  </si>
  <si>
    <t>Effertz et al. (2015)</t>
  </si>
  <si>
    <t>To estimate annual societal costs</t>
  </si>
  <si>
    <t>Germany (2015)</t>
  </si>
  <si>
    <t>Nursing costs, rehabilitation treatments, financial compensations for job integrations, accidents, medication</t>
  </si>
  <si>
    <t>Sickness absence, nursing care, early retirement pension, pension for widows and orphans, rehabilitation, unemployment, premature mortality</t>
  </si>
  <si>
    <r>
      <rPr>
        <rFont val="Arial"/>
        <b/>
        <color theme="1"/>
        <sz val="10.0"/>
      </rPr>
      <t>Total</t>
    </r>
    <r>
      <rPr>
        <rFont val="Arial"/>
        <color rgb="FF000000"/>
        <sz val="10.0"/>
      </rPr>
      <t xml:space="preserve"> costs: €63.04 billion; Direct costs: €29.39 billion; Indirect costs: €33.65 billion (-)</t>
    </r>
  </si>
  <si>
    <t>insured population in Germany (146 000)</t>
  </si>
  <si>
    <t>http://sci-hub.tw/https://doi.org/10.1007/s10198-015-0751-4</t>
  </si>
  <si>
    <t>rozepsané náklady za co se kolik platí (rehabilitace, nemocenská atd)</t>
  </si>
  <si>
    <t>Kang et al (2011)</t>
  </si>
  <si>
    <t>Korea (2005)</t>
  </si>
  <si>
    <t>Inpatient and outpatient costs and medication</t>
  </si>
  <si>
    <t>Loss of productivity due to premature mortality and sickness absence; time costs, traffic costs and nursing fees</t>
  </si>
  <si>
    <r>
      <rPr>
        <rFont val="Arial"/>
        <b/>
        <color theme="1"/>
        <sz val="10.0"/>
      </rPr>
      <t>Total</t>
    </r>
    <r>
      <rPr>
        <rFont val="Arial"/>
        <color rgb="FF000000"/>
        <sz val="10.0"/>
      </rPr>
      <t xml:space="preserve"> costs: US $1.786 billion; Direct costs: US $1.080 billion; Indirect costs: US $705.8 million (2005)</t>
    </r>
  </si>
  <si>
    <t>diabetes, CVDs, hypertension, cancer, other</t>
  </si>
  <si>
    <t>Population aged ≥ 20 years (1910194)</t>
  </si>
  <si>
    <t>Incidence-based, top-down approach, retrospective</t>
  </si>
  <si>
    <t>http://sci-hub.tw/https://doi.org/10.3346/jkms.2011.26.12.1533</t>
  </si>
  <si>
    <t>rozepsáno jaká populace využila jaké služby</t>
  </si>
  <si>
    <t>Konnopka et al. (2011)</t>
  </si>
  <si>
    <t>Germany (2002)</t>
  </si>
  <si>
    <t>Inpatient and outpatient costs, rehabilitation, administration and research</t>
  </si>
  <si>
    <t>Loss of productivity due to sickness absence, early retirement and premature mortality</t>
  </si>
  <si>
    <r>
      <rPr>
        <rFont val="Arial"/>
        <b/>
        <color theme="1"/>
        <sz val="10.0"/>
      </rPr>
      <t>Total</t>
    </r>
    <r>
      <rPr>
        <rFont val="Arial"/>
        <color rgb="FF000000"/>
        <sz val="10.0"/>
      </rPr>
      <t xml:space="preserve"> costs: €9.873 billion; Direct costs: €4.854 billion; Indirect costs: €5.019 billion (2002), shares of costs per diseases: neosplasms 25.4%, endocrinologic 31.2%, cardiovascular 39.9%, digestive 3.5%</t>
    </r>
  </si>
  <si>
    <t>diabetes, CVDs, hypertension, cancer, digestive diseases, other</t>
  </si>
  <si>
    <t>Entire adult population (entire population)</t>
  </si>
  <si>
    <t>Prevalencebased, top-down approach, retrospective</t>
  </si>
  <si>
    <t>http://sci-hub.tw/https://doi.org/10.1007/s10198-010-0242-6</t>
  </si>
  <si>
    <t>Konig et al. (2015)</t>
  </si>
  <si>
    <t>To estimate societal costs</t>
  </si>
  <si>
    <t>Germany</t>
  </si>
  <si>
    <t>Inpatient and outpatient costs, medication, dental prostheses, professional community nursing home care and informal care</t>
  </si>
  <si>
    <t>Direct per-capita costs: €1244 (2008)</t>
  </si>
  <si>
    <t>Population aged 58–82 (3108)</t>
  </si>
  <si>
    <t>Population-based, bottom-up approach, retrospective</t>
  </si>
  <si>
    <t>http://sci-hub.tw/https://doi.org/10.1093/ageing/afu120</t>
  </si>
  <si>
    <t>Krueger et al. (2015)</t>
  </si>
  <si>
    <t>To predict annual societal costs by simulation modelling</t>
  </si>
  <si>
    <t>Canada (2013)</t>
  </si>
  <si>
    <t>Hospital care, physician services, medication, health research and other health care expenditures</t>
  </si>
  <si>
    <t>Loss of productivity due to short-term disability, long-term disability and premature mortality</t>
  </si>
  <si>
    <t>CAD $23.3 billion (2013)</t>
  </si>
  <si>
    <t>diabetes, CVDs, hypertension,cancer, respiratory disorders, musculo-skeletal disorders, digestive diseases, other</t>
  </si>
  <si>
    <t>17-100 years (3108)</t>
  </si>
  <si>
    <t>http://sci-hub.tw/https://doi.org/10.17269/cjph.106.4994</t>
  </si>
  <si>
    <t xml:space="preserve">obsahuje jen náklady nepřímých nákladů jako část přímých </t>
  </si>
  <si>
    <t>Lehnert et al. (2015)</t>
  </si>
  <si>
    <t>Germany (2008)</t>
  </si>
  <si>
    <t>Inpatient and outpatient costs, rehabilitation, health protection, ambulance, administration, research, investments and education</t>
  </si>
  <si>
    <r>
      <rPr>
        <rFont val="Arial"/>
        <b/>
        <color theme="1"/>
        <sz val="10.0"/>
      </rPr>
      <t>Total</t>
    </r>
    <r>
      <rPr>
        <rFont val="Arial"/>
        <color rgb="FF000000"/>
        <sz val="10.0"/>
      </rPr>
      <t xml:space="preserve"> costs: €12.235 billion; Direct costs: €6.05 billion; Indirect costs: €6.19 billion (2008)</t>
    </r>
  </si>
  <si>
    <t>diabetes, CVDs, hpyertension, digestive disorders, other</t>
  </si>
  <si>
    <t>http://sci-hub.tw/https://doi.org/10.1007/s10198-014-0645-x</t>
  </si>
  <si>
    <t>jsou tam počty smrtí dle nemocí a "population attributable fractions", ne procenta</t>
  </si>
  <si>
    <t>Lehnert et al. (2014)</t>
  </si>
  <si>
    <t>Loss of productivity in paid work due to absenteeism</t>
  </si>
  <si>
    <t>Annual per capita costs: €772.0 (2009)</t>
  </si>
  <si>
    <t>18–65 years and employed (7990)</t>
  </si>
  <si>
    <t>http://sci-hub.tw/https://doi.org/10.1097/JOM.0000000000000065</t>
  </si>
  <si>
    <t>jsou tam procenta lidí trpící jakou kterou nemocí, ne však náklady. je to o nemocenské</t>
  </si>
  <si>
    <t>Lette et al. (2016)</t>
  </si>
  <si>
    <t>To estimate annual health care costs</t>
  </si>
  <si>
    <t>Germany (2009)</t>
  </si>
  <si>
    <r>
      <rPr>
        <rFont val="Arial"/>
        <color theme="1"/>
        <sz val="10.0"/>
      </rPr>
      <t xml:space="preserve">Annual </t>
    </r>
    <r>
      <rPr>
        <rFont val="Arial"/>
        <b/>
        <color theme="1"/>
        <sz val="10.0"/>
      </rPr>
      <t>direct</t>
    </r>
    <r>
      <rPr>
        <rFont val="Arial"/>
        <color rgb="FF000000"/>
        <sz val="10.0"/>
      </rPr>
      <t xml:space="preserve"> costs: DE: €5.1 billion</t>
    </r>
  </si>
  <si>
    <t>diabetes, CVDs, hypertension, cancer, musculo-skeletal disorders</t>
  </si>
  <si>
    <t>Population aged ≥ 20 years (entire population)</t>
  </si>
  <si>
    <t>https://www.ncbi.nlm.nih.gov/pmc/articles/PMC4705131/pdf/10198_2014_Article_655.pdf</t>
  </si>
  <si>
    <t>Netherlands (2009)</t>
  </si>
  <si>
    <t>NL: €528.3 million;</t>
  </si>
  <si>
    <t>CZ (2009)</t>
  </si>
  <si>
    <t>CZ: €108.3 million</t>
  </si>
  <si>
    <t>Mora et al. (2015)</t>
  </si>
  <si>
    <t>To estimate health care costs by modelling</t>
  </si>
  <si>
    <t>Spain (2010)</t>
  </si>
  <si>
    <t>Visits to the GP, specialist and emergency care, hospitalization, laboratory, radiology and other diagnostic tests and medication</t>
  </si>
  <si>
    <t>Annual per-capita costs: US $1382.42 Increase in annual per-capita costs: US $381.17 (2010)</t>
  </si>
  <si>
    <t>Entire adult population (452108)</t>
  </si>
  <si>
    <t>2PM; Prevalence-based, bottom-up approach, prospective</t>
  </si>
  <si>
    <t>http://sci-hub.tw/https://doi.org/10.1007/s10198-014-0562-z</t>
  </si>
  <si>
    <t>celkové náklady, nijak rozepsané</t>
  </si>
  <si>
    <t>Neovius et al. (2012)</t>
  </si>
  <si>
    <t>To estimate lifetime productivity losses</t>
  </si>
  <si>
    <t>Sweden</t>
  </si>
  <si>
    <t>Lifetime loss of productivity; sickness absence; disability pension and premature mortality</t>
  </si>
  <si>
    <t>Total lifetime productivity loss: €95,400 (2003)</t>
  </si>
  <si>
    <t>19–65 years (45920)</t>
  </si>
  <si>
    <t>"not relevant"</t>
  </si>
  <si>
    <t>http://sci-hub.tw/https://link.springer.com/article/10.1007/BF03261865</t>
  </si>
  <si>
    <t>absolutní náklady ztráty produktivity, nic jiného zajímavého</t>
  </si>
  <si>
    <t>Pitayatienanan (2014)</t>
  </si>
  <si>
    <t>Thailand</t>
  </si>
  <si>
    <t>Loss of productivity due to premature mortality and hospital-related absenteeism</t>
  </si>
  <si>
    <r>
      <rPr>
        <rFont val="Arial"/>
        <b/>
        <color theme="1"/>
        <sz val="10.0"/>
      </rPr>
      <t>Total</t>
    </r>
    <r>
      <rPr>
        <rFont val="Arial"/>
        <color rgb="FF000000"/>
        <sz val="10.0"/>
      </rPr>
      <t xml:space="preserve"> costs: US $725.3 million Direct costs: US $333.6 million Indirect costs: US $391.8 million (2009)</t>
    </r>
  </si>
  <si>
    <t>total costs of obesity - 0.13% thai GDP, and of that: diabetes mellitus 52.6%, ischemic heart disease 17.9%, stroke 16.6%, colon and rectal cancer 5.9%, hypertension 2.7%, osteoarthritis 1.5%, gall bladder 1%, endometrial cancer 0.4%, breast cancer 1.1%; costs of obesity, hyperlipidemia, pulmonary mebolism and depression are negligible</t>
  </si>
  <si>
    <t>diabetes, CVDs, hypertension, cancer, respiratory disorders, musculo-skeletal disorders, mental disorders, digestive diseases, other</t>
  </si>
  <si>
    <t>Entire adult population (-)</t>
  </si>
  <si>
    <t>http://sci-hub.tw/https://doi.org/10.1186/1472-6963-14-146</t>
  </si>
  <si>
    <t>Rtveladze et al. (2014)</t>
  </si>
  <si>
    <t>To predict health care costs by microsimulation</t>
  </si>
  <si>
    <t>Mexico (2010)</t>
  </si>
  <si>
    <t>Total costs for health care and disease-related costs</t>
  </si>
  <si>
    <r>
      <rPr>
        <rFont val="Arial"/>
        <b/>
        <color theme="1"/>
        <sz val="10.0"/>
      </rPr>
      <t>Health care</t>
    </r>
    <r>
      <rPr>
        <rFont val="Arial"/>
        <color rgb="FF000000"/>
        <sz val="10.0"/>
      </rPr>
      <t xml:space="preserve"> US $806 million (2010)</t>
    </r>
  </si>
  <si>
    <t>Entire adult population (Mexican adults)</t>
  </si>
  <si>
    <t>Incidence-based, top-down approach, prospective</t>
  </si>
  <si>
    <t>http://sci-hub.tw/https://doi.org/10.1017/S1368980013000086</t>
  </si>
  <si>
    <t>rozebírá možné budoucí scénáře nákladů, nijak rozepsané nemoci</t>
  </si>
  <si>
    <t>Rtveladze et al. (2013)</t>
  </si>
  <si>
    <t>Inpatient costs, medication, consultation, management of complications</t>
  </si>
  <si>
    <r>
      <rPr>
        <rFont val="Arial"/>
        <b/>
        <color theme="1"/>
        <sz val="10.0"/>
      </rPr>
      <t>healthcare</t>
    </r>
    <r>
      <rPr>
        <rFont val="Arial"/>
        <color rgb="FF000000"/>
        <sz val="10.0"/>
      </rPr>
      <t xml:space="preserve"> US $5.81 billion (2010)</t>
    </r>
  </si>
  <si>
    <t>≥20 years (Brazilian adults)</t>
  </si>
  <si>
    <t>Incidence- based, top-down approach, prospective</t>
  </si>
  <si>
    <t>http://sci-hub.tw/https://doi.org/10.1371/journal.pone.0068785</t>
  </si>
  <si>
    <t>zase řeší možné budoucí scénáře</t>
  </si>
  <si>
    <t>Su et al. (2015)</t>
  </si>
  <si>
    <t>To predict societal costs by microsimulation</t>
  </si>
  <si>
    <t>Loss of productivity due to absenteeism and disability</t>
  </si>
  <si>
    <t>Total per-capita costs: US $33,900 Direct per-capita costs: US $20,200 (2013)</t>
  </si>
  <si>
    <t>20–85 years (5221)</t>
  </si>
  <si>
    <t>Bottom-up approach, prospective</t>
  </si>
  <si>
    <t>http://sci-hub.tw/https://doi.org/10.3111/13696998.2015.1058805</t>
  </si>
  <si>
    <t xml:space="preserve"> among the obese population, each excess kilogramof body weight is associated with $140 increase in annual medical costs. Findings suggest that people who are obese currently have $3,900 higher average annual medical expenditures relative to their normal weight peers, but over 10 years this difference grows to $4,600 suggesting that medical costs rise more rapidly with aging for people with obesity compared with their normal weight peers. </t>
  </si>
  <si>
    <t>Wang et al. (2015)</t>
  </si>
  <si>
    <t>To predict health care costs by modelling</t>
  </si>
  <si>
    <t>Bariatric surgery, nutrition consultation, weight loss programme, medication</t>
  </si>
  <si>
    <t>US $69 billion for severe obesity (2014)</t>
  </si>
  <si>
    <t>All taxpayers and employers (117948)</t>
  </si>
  <si>
    <t>2 PM; prevalence-based, bottom-up approach</t>
  </si>
  <si>
    <t>http://sci-hub.tw/https://doi.org/10.1377/hlthaff.2015.0633</t>
  </si>
  <si>
    <t>rozepsané podle států USA kde kolik obezita stojí, nijak popsané nemoci ale</t>
  </si>
  <si>
    <t>Yang &amp; Zhang (2014)</t>
  </si>
  <si>
    <t>To predict the societal costs by model simulation</t>
  </si>
  <si>
    <t>Inpatient and outpatient costs, physician services, LTC, medication</t>
  </si>
  <si>
    <t>Total lifespan per-capita costs: US $171,482 (2012)</t>
  </si>
  <si>
    <t>diabetes, CVDs, cancer, respiratory disorders</t>
  </si>
  <si>
    <t>Entire adult population aged ≥ 65 (28906)</t>
  </si>
  <si>
    <t>2 PM; Incidence-based, bottom-up approach, prospective</t>
  </si>
  <si>
    <t>http://sci-hub.tw/https://doi.org/10.1097/MLR.0000000000000154</t>
  </si>
  <si>
    <t>týká se jen baby boomers</t>
  </si>
  <si>
    <t>diplomka</t>
  </si>
  <si>
    <t>Colagiuri et al. (2010)</t>
  </si>
  <si>
    <t>Australia (2005)</t>
  </si>
  <si>
    <t>healthcare costs, nonhealthcare costs, state support</t>
  </si>
  <si>
    <r>
      <rPr>
        <rFont val="Arial"/>
        <b/>
        <color theme="1"/>
        <sz val="10.0"/>
      </rPr>
      <t>direct</t>
    </r>
    <r>
      <rPr>
        <rFont val="Arial"/>
        <color rgb="FF000000"/>
        <sz val="10.0"/>
      </rPr>
      <t xml:space="preserve"> costs: 8.3 bln USD, state support: 18.7 bln USD</t>
    </r>
  </si>
  <si>
    <t>age &gt;30, BMI &gt;=30</t>
  </si>
  <si>
    <t>prevalence-based, bottom-up approach</t>
  </si>
  <si>
    <t>http://sci-hub.tw/10.5694/j.1326-5377.2010.tb03503.x</t>
  </si>
  <si>
    <t>počítali bottom up -&gt; vyšly jim costs mnohem vyšší než u top down, mají i částku na nadváhu samotnou</t>
  </si>
  <si>
    <t>Lévy et al. (1995)</t>
  </si>
  <si>
    <t>France (1992)</t>
  </si>
  <si>
    <t>hospital and ambulance care, drugs</t>
  </si>
  <si>
    <t>loss of productivity due to morbidity and mortality</t>
  </si>
  <si>
    <t>2% of total healthcare costs</t>
  </si>
  <si>
    <t>2% of healthcare expenses (1992), hypertension 33% of the direct costs (?), cancer 2.5% of the direct costs</t>
  </si>
  <si>
    <t>bmi &gt;=27</t>
  </si>
  <si>
    <t>prevalence-based, top-down approach</t>
  </si>
  <si>
    <t>https://www.ncbi.nlm.nih.gov/pubmed/8589779</t>
  </si>
  <si>
    <t>jinak definovaná obezita</t>
  </si>
  <si>
    <t>Dee et al. (2015)</t>
  </si>
  <si>
    <t>Ireland (2009)</t>
  </si>
  <si>
    <t>sickness absence, premature deaths</t>
  </si>
  <si>
    <r>
      <rPr>
        <rFont val="Arial"/>
        <color theme="1"/>
        <sz val="10.0"/>
      </rPr>
      <t xml:space="preserve">Ireland 2.7%, N.Ireland 2.8%, </t>
    </r>
    <r>
      <rPr>
        <rFont val="Arial"/>
        <b/>
        <color theme="1"/>
        <sz val="10.0"/>
      </rPr>
      <t>overweight and obesity</t>
    </r>
    <r>
      <rPr>
        <rFont val="Arial"/>
        <color rgb="FF000000"/>
        <sz val="10.0"/>
      </rPr>
      <t xml:space="preserve"> - €437 mil for the Republic of Ireland (RoI) and €127.41 mil for NI. Productivity loss due to O&amp;O - €865 million for RoI, €362 million NI (2009)</t>
    </r>
  </si>
  <si>
    <t>http://sci-hub.tw/http://dx.doi.org/10.1136/bmjopen-2014-006189</t>
  </si>
  <si>
    <t>NI (2009</t>
  </si>
  <si>
    <t>0.49 billion euro</t>
  </si>
  <si>
    <t>Birmingham et al. (1999)</t>
  </si>
  <si>
    <t>hospital and ambulance care, drugs, research</t>
  </si>
  <si>
    <t>2.4% of total healthcare costs</t>
  </si>
  <si>
    <t>bmi&gt;=27</t>
  </si>
  <si>
    <t>https://www.ncbi.nlm.nih.gov/pubmed/10081464</t>
  </si>
  <si>
    <t>Katzmarzyk et al. (2004)</t>
  </si>
  <si>
    <t>Canada (2001)</t>
  </si>
  <si>
    <t>hospital and ambulance care, drugs, administrative costs, healthcare research</t>
  </si>
  <si>
    <t>sickness leave, early retirement, premature death</t>
  </si>
  <si>
    <t>1.6% of total healthcare costs</t>
  </si>
  <si>
    <t>https://www.ncbi.nlm.nih.gov/pubmed/15001807</t>
  </si>
  <si>
    <t>zdroj healthcare expenses - OECD</t>
  </si>
  <si>
    <t>Anis et al. (2010)</t>
  </si>
  <si>
    <t>Canada (2006)</t>
  </si>
  <si>
    <t>hospital and ambulance care, drugs,  healthcare research</t>
  </si>
  <si>
    <t>short-term and long-term sickness absence</t>
  </si>
  <si>
    <t>2.3% of total healthcare costs</t>
  </si>
  <si>
    <t>bmi&gt;=30</t>
  </si>
  <si>
    <t>https://www.ncbi.nlm.nih.gov/pubmed/19413707</t>
  </si>
  <si>
    <t>Sander et al. (2003)</t>
  </si>
  <si>
    <t>Germany (2001)</t>
  </si>
  <si>
    <t>hospital and ambulance care, drugs, rehabilitation</t>
  </si>
  <si>
    <t>sickness absence, lower work productivity, premature deaths</t>
  </si>
  <si>
    <t>0.9% of total healthcare costs</t>
  </si>
  <si>
    <t>age &gt; 25, bmi &gt;=30</t>
  </si>
  <si>
    <t>https://link.springer.com/article/10.1007/s10198-003-0178-1</t>
  </si>
  <si>
    <t>Swinburn et al. (1997)</t>
  </si>
  <si>
    <t>New Zealand (1991)</t>
  </si>
  <si>
    <t>hospital and ambulance care, drugs, lab tests</t>
  </si>
  <si>
    <t>2.5% of total healthcare costs</t>
  </si>
  <si>
    <t>https://www.ncbi.nlm.nih.gov/pubmed/9347407</t>
  </si>
  <si>
    <t>Schmid et al. (2005)</t>
  </si>
  <si>
    <t>Switzerland (2001)</t>
  </si>
  <si>
    <t>drugs, nutrition consultations and operations</t>
  </si>
  <si>
    <t>sickness absence, early retirement, premature deaths</t>
  </si>
  <si>
    <t>2.691 CHF</t>
  </si>
  <si>
    <t>https://www.ncbi.nlm.nih.gov/pubmed/15900961</t>
  </si>
  <si>
    <t>G. A. Colditz (1992)</t>
  </si>
  <si>
    <t>USA (1986)</t>
  </si>
  <si>
    <t>hospital and ambulance care, drugs, home care</t>
  </si>
  <si>
    <t>loss of productivity due to illnesses or injury or death</t>
  </si>
  <si>
    <t>5.5% of total healthcare costs</t>
  </si>
  <si>
    <t>women: bmi &gt;= 27.3, men: bmi &gt;=27.8</t>
  </si>
  <si>
    <t>https://www.ncbi.nlm.nih.gov/pubmed/10593542</t>
  </si>
  <si>
    <t>Wolf et al. (1998)</t>
  </si>
  <si>
    <t>USA (1995)</t>
  </si>
  <si>
    <t>prevention, diagnostics, healthcare (hospitalisation, home care, ambulance, drugs)</t>
  </si>
  <si>
    <t>5.7% of total healthcare costs</t>
  </si>
  <si>
    <t>bmi &gt;= 29</t>
  </si>
  <si>
    <t>https://www.ncbi.nlm.nih.gov/pubmed/9545015</t>
  </si>
  <si>
    <t>Withrow (2011)</t>
  </si>
  <si>
    <t>The economic burden of obesity worldwide: a systematic review of the direct costs of obesity.</t>
  </si>
  <si>
    <t>http://sci-hub.tw/https://doi.org/10.1111/j.1467-789X.2009.00712.x</t>
  </si>
  <si>
    <t>Zhao (2008)</t>
  </si>
  <si>
    <t>Economic burden of obesity-related chronic diseases in Mainland China</t>
  </si>
  <si>
    <t>China (2003)</t>
  </si>
  <si>
    <t>$2.74 billion</t>
  </si>
  <si>
    <t>http://sci-hub.tw/https://doi.org/10.1111/j.1467-789X.2007.00440.x</t>
  </si>
  <si>
    <t>Borg 2005</t>
  </si>
  <si>
    <t>Sweden (2003)</t>
  </si>
  <si>
    <t>Comptroller and Auditor General (2001)</t>
  </si>
  <si>
    <t>UK (1998)</t>
  </si>
  <si>
    <t>Fry (2005)</t>
  </si>
  <si>
    <t>Italy</t>
  </si>
  <si>
    <t xml:space="preserve">UK </t>
  </si>
  <si>
    <t>France</t>
  </si>
  <si>
    <t>Spain</t>
  </si>
  <si>
    <t>Austria</t>
  </si>
  <si>
    <t>Netherlands</t>
  </si>
  <si>
    <t>Greece</t>
  </si>
  <si>
    <t>Sander 2003</t>
  </si>
  <si>
    <t>Germany (1998)</t>
  </si>
  <si>
    <t>0.9% of healthcare</t>
  </si>
  <si>
    <t>Schneider (1996)</t>
  </si>
  <si>
    <t>Germany (1990)</t>
  </si>
  <si>
    <t>15.2DM</t>
  </si>
  <si>
    <t>Germany (1995)</t>
  </si>
  <si>
    <t>20.7 DM</t>
  </si>
  <si>
    <t>Countries with total cost of obesity as GDP</t>
  </si>
  <si>
    <t>Thailand (2014)</t>
  </si>
  <si>
    <t>Germany (1992)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</si>
</sst>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0">
    <numFmt numFmtId="164" formatCode="#,##0[$ Kč]"/>
    <numFmt numFmtId="165" formatCode="#,##0.0"/>
    <numFmt numFmtId="166" formatCode="&quot;$&quot;#,##0"/>
    <numFmt numFmtId="167" formatCode="_(&quot;$&quot;* #,##0.00_);_(&quot;$&quot;* \(#,##0.00\);_(&quot;$&quot;* &quot;-&quot;??_);_(@_)"/>
    <numFmt numFmtId="168" formatCode="&quot;€&quot;#,##0"/>
    <numFmt numFmtId="169" formatCode="0.0"/>
    <numFmt numFmtId="170" formatCode="#,##0.0[$ Kč]"/>
    <numFmt numFmtId="171" formatCode="#,##0\ [$Kč-405]"/>
    <numFmt numFmtId="172" formatCode="0.0%"/>
    <numFmt numFmtId="173" formatCode="#,##0.000"/>
    <numFmt numFmtId="174" formatCode="m\-d"/>
    <numFmt numFmtId="175" formatCode="#,##0.00[$ Kč]"/>
    <numFmt numFmtId="176" formatCode="m\,\ d"/>
    <numFmt numFmtId="177" formatCode="m\,\ d\,\ yy"/>
    <numFmt numFmtId="178" formatCode="#,##0.00000"/>
    <numFmt numFmtId="179" formatCode="0.000"/>
    <numFmt numFmtId="180" formatCode="&quot;$&quot;#,##0.00"/>
    <numFmt numFmtId="181" formatCode="&quot;€&quot;#,##0.00"/>
    <numFmt numFmtId="182" formatCode="#,##0.00&quot;€&quot;"/>
    <numFmt numFmtId="183" formatCode="#,##0.0&quot;€&quot;"/>
  </numFmts>
  <fonts count="80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b/>
      <u/>
      <color rgb="FF0000FF"/>
    </font>
    <font>
      <b/>
      <color rgb="FFFFFFFF"/>
      <name val="Arial"/>
      <scheme val="minor"/>
    </font>
    <font>
      <b/>
      <u/>
      <color rgb="FF0000FF"/>
    </font>
    <font>
      <i/>
      <color theme="1"/>
      <name val="Arial"/>
      <scheme val="minor"/>
    </font>
    <font/>
    <font>
      <color theme="1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1155CC"/>
      <name val="Arial"/>
    </font>
    <font>
      <u/>
      <sz val="10.0"/>
      <color rgb="FF1155CC"/>
      <name val="Arial"/>
    </font>
    <font>
      <b/>
      <sz val="14.0"/>
      <color theme="1"/>
      <name val="Arial"/>
    </font>
    <font>
      <u/>
      <sz val="10.0"/>
      <color rgb="FF0000FF"/>
      <name val="Arial"/>
    </font>
    <font>
      <b/>
      <sz val="10.0"/>
      <color rgb="FF000000"/>
      <name val="Calibri"/>
    </font>
    <font>
      <sz val="10.0"/>
      <color theme="1"/>
      <name val="Calibri"/>
    </font>
    <font>
      <b/>
      <sz val="11.0"/>
      <color rgb="FF000000"/>
      <name val="Arial"/>
    </font>
    <font>
      <sz val="11.0"/>
      <color rgb="FF000000"/>
      <name val="Arial"/>
    </font>
    <font>
      <sz val="11.0"/>
      <color rgb="FFFF0000"/>
      <name val="Arial"/>
    </font>
    <font>
      <sz val="11.0"/>
      <color theme="1"/>
      <name val="Arial"/>
    </font>
    <font>
      <b/>
      <sz val="11.0"/>
      <color theme="1"/>
      <name val="Arial"/>
    </font>
    <font>
      <b/>
      <sz val="11.0"/>
      <color rgb="FF000000"/>
      <name val="Calibri"/>
    </font>
    <font>
      <sz val="11.0"/>
      <color rgb="FF000000"/>
      <name val="Calibri"/>
    </font>
    <font>
      <b/>
      <sz val="11.0"/>
      <color rgb="FFFFFFFF"/>
      <name val="Arial"/>
    </font>
    <font>
      <sz val="11.0"/>
      <color theme="1"/>
      <name val="Calibri"/>
    </font>
    <font>
      <sz val="10.0"/>
      <color rgb="FF999999"/>
      <name val="Arial"/>
    </font>
    <font>
      <sz val="10.0"/>
      <color rgb="FFCC0000"/>
      <name val="Arial"/>
    </font>
    <font>
      <b/>
      <sz val="12.0"/>
      <color rgb="FF000000"/>
      <name val="Arial"/>
    </font>
    <font>
      <b/>
      <sz val="12.0"/>
      <color theme="1"/>
      <name val="Arial"/>
    </font>
    <font>
      <sz val="10.0"/>
      <color rgb="FFA5A5A5"/>
      <name val="Arial"/>
    </font>
    <font>
      <sz val="11.0"/>
      <color rgb="FF757171"/>
      <name val="Arial"/>
    </font>
    <font>
      <sz val="10.0"/>
      <color rgb="FF757171"/>
      <name val="Arial"/>
    </font>
    <font>
      <sz val="11.0"/>
      <color rgb="FF999999"/>
      <name val="Calibri"/>
    </font>
    <font>
      <sz val="10.0"/>
      <color rgb="FFB7B7B7"/>
      <name val="Arial"/>
    </font>
    <font>
      <sz val="11.0"/>
      <color rgb="FF999999"/>
      <name val="Arial"/>
    </font>
    <font>
      <sz val="10.0"/>
      <color rgb="FFCCCCCC"/>
      <name val="Arial"/>
    </font>
    <font>
      <u/>
      <sz val="10.0"/>
      <color rgb="FF1155CC"/>
      <name val="Arial"/>
    </font>
    <font>
      <u/>
      <sz val="10.0"/>
      <color rgb="FF1155CC"/>
      <name val="Arial"/>
    </font>
    <font>
      <b/>
      <sz val="11.0"/>
      <color rgb="FFFF0000"/>
      <name val="Arial"/>
    </font>
    <font>
      <b/>
      <sz val="10.0"/>
      <color rgb="FFFF0000"/>
      <name val="Arial"/>
    </font>
    <font>
      <u/>
      <sz val="10.0"/>
      <color theme="10"/>
      <name val="Arial"/>
    </font>
    <font>
      <u/>
      <sz val="10.0"/>
      <color theme="10"/>
      <name val="Arial"/>
    </font>
    <font>
      <b/>
      <sz val="9.0"/>
      <color theme="1"/>
      <name val="Arial"/>
    </font>
    <font>
      <sz val="9.0"/>
      <color theme="1"/>
      <name val="Arial"/>
    </font>
    <font>
      <u/>
      <sz val="10.0"/>
      <color rgb="FF0000FF"/>
      <name val="Arial"/>
    </font>
    <font>
      <u/>
      <sz val="10.0"/>
      <color rgb="FF000000"/>
      <name val="Arial"/>
    </font>
    <font>
      <b/>
      <sz val="10.0"/>
      <color rgb="FFB7B7B7"/>
      <name val="Arial"/>
    </font>
    <font>
      <sz val="11.0"/>
      <color rgb="FFB7B7B7"/>
      <name val="Calibri"/>
    </font>
    <font>
      <sz val="11.0"/>
      <color rgb="FFB7B7B7"/>
      <name val="Arial"/>
    </font>
    <font>
      <u/>
      <sz val="10.0"/>
      <color rgb="FF0000FF"/>
      <name val="Arial"/>
    </font>
    <font>
      <u/>
      <sz val="10.0"/>
      <color rgb="FF0563C1"/>
      <name val="Arial"/>
    </font>
    <font>
      <u/>
      <sz val="10.0"/>
      <color rgb="FF0000FF"/>
      <name val="Arial"/>
    </font>
    <font>
      <b/>
      <sz val="10.0"/>
      <color rgb="FFFFFFFF"/>
      <name val="Arial"/>
    </font>
    <font>
      <sz val="10.0"/>
      <color rgb="FF000000"/>
      <name val="Calibri"/>
    </font>
    <font>
      <b/>
      <sz val="10.0"/>
      <color rgb="FF4A86E8"/>
      <name val="Arial"/>
    </font>
    <font>
      <b/>
      <u/>
      <sz val="10.0"/>
      <color rgb="FF0000FF"/>
      <name val="Arial"/>
    </font>
    <font>
      <b/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i/>
      <sz val="10.0"/>
      <color theme="1"/>
      <name val="Arial"/>
    </font>
    <font>
      <i/>
      <u/>
      <sz val="10.0"/>
      <color rgb="FF0000FF"/>
      <name val="Arial"/>
    </font>
    <font>
      <sz val="11.0"/>
      <color rgb="FF222222"/>
      <name val="Arial"/>
    </font>
    <font>
      <sz val="10.0"/>
      <color rgb="FF333333"/>
      <name val="Arial"/>
    </font>
    <font>
      <sz val="10.0"/>
      <color rgb="FF000000"/>
      <name val="Roboto"/>
    </font>
    <font>
      <sz val="10.0"/>
      <color rgb="FF222222"/>
      <name val="Arial"/>
    </font>
    <font>
      <b/>
      <sz val="18.0"/>
      <color rgb="FFFFFFFF"/>
      <name val="Arial"/>
    </font>
  </fonts>
  <fills count="28">
    <fill>
      <patternFill patternType="none"/>
    </fill>
    <fill>
      <patternFill patternType="lightGray"/>
    </fill>
    <fill>
      <patternFill patternType="solid">
        <fgColor rgb="FF990000"/>
        <bgColor rgb="FF990000"/>
      </patternFill>
    </fill>
    <fill>
      <patternFill patternType="solid">
        <fgColor rgb="FFEA9999"/>
        <bgColor rgb="FFEA9999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BDD7EE"/>
        <bgColor rgb="FFBDD7EE"/>
      </patternFill>
    </fill>
    <fill>
      <patternFill patternType="solid">
        <fgColor rgb="FF4472C4"/>
        <bgColor rgb="FF4472C4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D9D2E9"/>
        <bgColor rgb="FFD9D2E9"/>
      </patternFill>
    </fill>
    <fill>
      <patternFill patternType="solid">
        <fgColor rgb="FFE7E6E6"/>
        <bgColor rgb="FFE7E6E6"/>
      </patternFill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D0E0E3"/>
        <bgColor rgb="FFD0E0E3"/>
      </patternFill>
    </fill>
    <fill>
      <patternFill patternType="solid">
        <fgColor rgb="FFB4C6E7"/>
        <bgColor rgb="FFB4C6E7"/>
      </patternFill>
    </fill>
    <fill>
      <patternFill patternType="solid">
        <fgColor rgb="FFFF0000"/>
        <bgColor rgb="FFFF0000"/>
      </patternFill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double">
        <color rgb="FF000000"/>
      </bottom>
    </border>
    <border>
      <right style="double">
        <color rgb="FF000000"/>
      </right>
    </border>
    <border>
      <left/>
      <top/>
      <bottom style="double">
        <color rgb="FF000000"/>
      </bottom>
    </border>
    <border>
      <top/>
      <bottom style="double">
        <color rgb="FF000000"/>
      </bottom>
    </border>
    <border>
      <right style="double">
        <color rgb="FF000000"/>
      </right>
      <top/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top/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left/>
      <top/>
      <bottom/>
    </border>
    <border>
      <right style="double">
        <color rgb="FF000000"/>
      </right>
      <top/>
      <bottom/>
    </border>
    <border>
      <left style="double">
        <color rgb="FF000000"/>
      </left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top style="double">
        <color rgb="FF000000"/>
      </top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</border>
    <border>
      <left/>
      <right style="thin">
        <color rgb="FF000000"/>
      </right>
      <top/>
    </border>
    <border>
      <left/>
      <right style="medium">
        <color rgb="FF000000"/>
      </right>
      <top/>
    </border>
    <border>
      <left/>
      <right/>
      <top/>
    </border>
    <border>
      <right style="medium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1" fillId="4" fontId="5" numFmtId="0" xfId="0" applyAlignment="1" applyBorder="1" applyFill="1" applyFont="1">
      <alignment readingOrder="0"/>
    </xf>
    <xf borderId="1" fillId="0" fontId="6" numFmtId="0" xfId="0" applyAlignment="1" applyBorder="1" applyFont="1">
      <alignment readingOrder="0" shrinkToFit="0" wrapText="1"/>
    </xf>
    <xf borderId="1" fillId="4" fontId="2" numFmtId="0" xfId="0" applyAlignment="1" applyBorder="1" applyFont="1">
      <alignment readingOrder="0"/>
    </xf>
    <xf borderId="2" fillId="3" fontId="2" numFmtId="0" xfId="0" applyAlignment="1" applyBorder="1" applyFont="1">
      <alignment readingOrder="0"/>
    </xf>
    <xf borderId="3" fillId="0" fontId="7" numFmtId="0" xfId="0" applyBorder="1" applyFont="1"/>
    <xf borderId="1" fillId="4" fontId="2" numFmtId="0" xfId="0" applyBorder="1" applyFont="1"/>
    <xf borderId="0" fillId="4" fontId="8" numFmtId="0" xfId="0" applyFont="1"/>
    <xf borderId="0" fillId="0" fontId="9" numFmtId="0" xfId="0" applyFont="1"/>
    <xf borderId="0" fillId="0" fontId="10" numFmtId="0" xfId="0" applyFont="1"/>
    <xf borderId="1" fillId="0" fontId="9" numFmtId="0" xfId="0" applyBorder="1" applyFont="1"/>
    <xf borderId="1" fillId="5" fontId="9" numFmtId="164" xfId="0" applyAlignment="1" applyBorder="1" applyFill="1" applyFont="1" applyNumberFormat="1">
      <alignment horizontal="right"/>
    </xf>
    <xf borderId="1" fillId="0" fontId="9" numFmtId="0" xfId="0" applyAlignment="1" applyBorder="1" applyFont="1">
      <alignment horizontal="center"/>
    </xf>
    <xf borderId="0" fillId="0" fontId="10" numFmtId="10" xfId="0" applyFont="1" applyNumberFormat="1"/>
    <xf borderId="0" fillId="0" fontId="8" numFmtId="0" xfId="0" applyFont="1"/>
    <xf borderId="1" fillId="0" fontId="10" numFmtId="0" xfId="0" applyBorder="1" applyFont="1"/>
    <xf borderId="1" fillId="0" fontId="10" numFmtId="164" xfId="0" applyBorder="1" applyFont="1" applyNumberFormat="1"/>
    <xf borderId="0" fillId="0" fontId="10" numFmtId="164" xfId="0" applyFont="1" applyNumberFormat="1"/>
    <xf borderId="0" fillId="0" fontId="9" numFmtId="164" xfId="0" applyFont="1" applyNumberFormat="1"/>
    <xf borderId="0" fillId="0" fontId="10" numFmtId="3" xfId="0" applyFont="1" applyNumberFormat="1"/>
    <xf borderId="4" fillId="6" fontId="10" numFmtId="0" xfId="0" applyBorder="1" applyFill="1" applyFont="1"/>
    <xf borderId="4" fillId="6" fontId="10" numFmtId="164" xfId="0" applyBorder="1" applyFont="1" applyNumberFormat="1"/>
    <xf borderId="1" fillId="0" fontId="9" numFmtId="164" xfId="0" applyAlignment="1" applyBorder="1" applyFont="1" applyNumberFormat="1">
      <alignment horizontal="center"/>
    </xf>
    <xf borderId="1" fillId="0" fontId="11" numFmtId="164" xfId="0" applyBorder="1" applyFont="1" applyNumberFormat="1"/>
    <xf borderId="1" fillId="0" fontId="9" numFmtId="164" xfId="0" applyAlignment="1" applyBorder="1" applyFont="1" applyNumberFormat="1">
      <alignment horizontal="right"/>
    </xf>
    <xf borderId="4" fillId="6" fontId="9" numFmtId="0" xfId="0" applyBorder="1" applyFont="1"/>
    <xf borderId="4" fillId="6" fontId="9" numFmtId="164" xfId="0" applyBorder="1" applyFont="1" applyNumberFormat="1"/>
    <xf borderId="1" fillId="0" fontId="11" numFmtId="0" xfId="0" applyBorder="1" applyFont="1"/>
    <xf borderId="5" fillId="0" fontId="12" numFmtId="0" xfId="0" applyBorder="1" applyFont="1"/>
    <xf borderId="3" fillId="0" fontId="12" numFmtId="0" xfId="0" applyBorder="1" applyFont="1"/>
    <xf borderId="6" fillId="0" fontId="11" numFmtId="0" xfId="0" applyBorder="1" applyFont="1"/>
    <xf borderId="0" fillId="0" fontId="11" numFmtId="165" xfId="0" applyFont="1" applyNumberFormat="1"/>
    <xf borderId="0" fillId="0" fontId="11" numFmtId="0" xfId="0" applyAlignment="1" applyFont="1">
      <alignment horizontal="center"/>
    </xf>
    <xf borderId="7" fillId="0" fontId="11" numFmtId="0" xfId="0" applyAlignment="1" applyBorder="1" applyFont="1">
      <alignment horizontal="center"/>
    </xf>
    <xf borderId="0" fillId="0" fontId="10" numFmtId="165" xfId="0" applyFont="1" applyNumberFormat="1"/>
    <xf borderId="7" fillId="0" fontId="11" numFmtId="165" xfId="0" applyBorder="1" applyFont="1" applyNumberFormat="1"/>
    <xf borderId="8" fillId="0" fontId="11" numFmtId="0" xfId="0" applyBorder="1" applyFont="1"/>
    <xf borderId="9" fillId="0" fontId="11" numFmtId="165" xfId="0" applyBorder="1" applyFont="1" applyNumberFormat="1"/>
    <xf borderId="9" fillId="0" fontId="11" numFmtId="0" xfId="0" applyAlignment="1" applyBorder="1" applyFont="1">
      <alignment horizontal="center"/>
    </xf>
    <xf borderId="10" fillId="0" fontId="11" numFmtId="165" xfId="0" applyBorder="1" applyFont="1" applyNumberFormat="1"/>
    <xf borderId="0" fillId="0" fontId="10" numFmtId="3" xfId="0" applyAlignment="1" applyFont="1" applyNumberFormat="1">
      <alignment horizontal="center"/>
    </xf>
    <xf borderId="0" fillId="0" fontId="10" numFmtId="4" xfId="0" applyAlignment="1" applyFont="1" applyNumberFormat="1">
      <alignment horizontal="center"/>
    </xf>
    <xf borderId="0" fillId="0" fontId="10" numFmtId="4" xfId="0" applyFont="1" applyNumberFormat="1"/>
    <xf borderId="11" fillId="0" fontId="10" numFmtId="0" xfId="0" applyBorder="1" applyFont="1"/>
    <xf borderId="11" fillId="7" fontId="10" numFmtId="0" xfId="0" applyAlignment="1" applyBorder="1" applyFill="1" applyFont="1">
      <alignment horizontal="center" vertical="center"/>
    </xf>
    <xf borderId="11" fillId="7" fontId="10" numFmtId="0" xfId="0" applyAlignment="1" applyBorder="1" applyFont="1">
      <alignment horizontal="center" shrinkToFit="0" vertical="center" wrapText="1"/>
    </xf>
    <xf borderId="8" fillId="0" fontId="7" numFmtId="0" xfId="0" applyBorder="1" applyFont="1"/>
    <xf borderId="1" fillId="0" fontId="13" numFmtId="0" xfId="0" applyAlignment="1" applyBorder="1" applyFont="1">
      <alignment vertical="center"/>
    </xf>
    <xf borderId="1" fillId="0" fontId="10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shrinkToFit="0" vertical="center" wrapText="1"/>
    </xf>
    <xf borderId="1" fillId="0" fontId="10" numFmtId="166" xfId="0" applyAlignment="1" applyBorder="1" applyFont="1" applyNumberFormat="1">
      <alignment horizontal="center" vertical="center"/>
    </xf>
    <xf borderId="1" fillId="0" fontId="14" numFmtId="0" xfId="0" applyAlignment="1" applyBorder="1" applyFont="1">
      <alignment horizontal="left" shrinkToFit="0" vertical="center" wrapText="1"/>
    </xf>
    <xf borderId="1" fillId="0" fontId="10" numFmtId="166" xfId="0" applyAlignment="1" applyBorder="1" applyFont="1" applyNumberFormat="1">
      <alignment horizontal="center" shrinkToFit="0" vertical="center" wrapText="1"/>
    </xf>
    <xf borderId="1" fillId="0" fontId="10" numFmtId="167" xfId="0" applyAlignment="1" applyBorder="1" applyFont="1" applyNumberFormat="1">
      <alignment horizontal="center" shrinkToFit="0" vertical="center" wrapText="1"/>
    </xf>
    <xf borderId="2" fillId="0" fontId="10" numFmtId="168" xfId="0" applyAlignment="1" applyBorder="1" applyFont="1" applyNumberFormat="1">
      <alignment horizontal="center" vertical="center"/>
    </xf>
    <xf borderId="1" fillId="0" fontId="15" numFmtId="0" xfId="0" applyBorder="1" applyFont="1"/>
    <xf borderId="11" fillId="0" fontId="16" numFmtId="0" xfId="0" applyAlignment="1" applyBorder="1" applyFont="1">
      <alignment vertical="center"/>
    </xf>
    <xf borderId="1" fillId="0" fontId="10" numFmtId="0" xfId="0" applyAlignment="1" applyBorder="1" applyFont="1">
      <alignment horizontal="center"/>
    </xf>
    <xf borderId="11" fillId="0" fontId="10" numFmtId="0" xfId="0" applyAlignment="1" applyBorder="1" applyFont="1">
      <alignment horizontal="center" vertical="center"/>
    </xf>
    <xf borderId="11" fillId="0" fontId="10" numFmtId="0" xfId="0" applyAlignment="1" applyBorder="1" applyFont="1">
      <alignment horizontal="center" shrinkToFit="0" vertical="center" wrapText="1"/>
    </xf>
    <xf borderId="2" fillId="0" fontId="10" numFmtId="168" xfId="0" applyAlignment="1" applyBorder="1" applyFont="1" applyNumberFormat="1">
      <alignment horizontal="center"/>
    </xf>
    <xf borderId="11" fillId="0" fontId="17" numFmtId="0" xfId="0" applyAlignment="1" applyBorder="1" applyFont="1">
      <alignment horizontal="left" shrinkToFit="0" vertical="center" wrapText="1"/>
    </xf>
    <xf borderId="1" fillId="0" fontId="10" numFmtId="166" xfId="0" applyAlignment="1" applyBorder="1" applyFont="1" applyNumberFormat="1">
      <alignment horizontal="center"/>
    </xf>
    <xf borderId="2" fillId="0" fontId="10" numFmtId="0" xfId="0" applyAlignment="1" applyBorder="1" applyFont="1">
      <alignment horizontal="center" vertical="center"/>
    </xf>
    <xf borderId="0" fillId="0" fontId="10" numFmtId="0" xfId="0" applyAlignment="1" applyFont="1">
      <alignment vertical="center"/>
    </xf>
    <xf borderId="12" fillId="0" fontId="10" numFmtId="0" xfId="0" applyAlignment="1" applyBorder="1" applyFont="1">
      <alignment horizontal="center" vertical="center"/>
    </xf>
    <xf borderId="13" fillId="0" fontId="7" numFmtId="0" xfId="0" applyBorder="1" applyFont="1"/>
    <xf borderId="14" fillId="0" fontId="7" numFmtId="0" xfId="0" applyBorder="1" applyFont="1"/>
    <xf borderId="10" fillId="0" fontId="7" numFmtId="0" xfId="0" applyBorder="1" applyFont="1"/>
    <xf borderId="1" fillId="0" fontId="18" numFmtId="0" xfId="0" applyAlignment="1" applyBorder="1" applyFont="1">
      <alignment horizontal="left" vertical="center"/>
    </xf>
    <xf borderId="1" fillId="0" fontId="19" numFmtId="0" xfId="0" applyAlignment="1" applyBorder="1" applyFont="1">
      <alignment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/>
    </xf>
    <xf borderId="0" fillId="0" fontId="10" numFmtId="166" xfId="0" applyAlignment="1" applyFont="1" applyNumberFormat="1">
      <alignment horizontal="center"/>
    </xf>
    <xf borderId="0" fillId="0" fontId="10" numFmtId="166" xfId="0" applyAlignment="1" applyFont="1" applyNumberFormat="1">
      <alignment horizontal="center" vertical="center"/>
    </xf>
    <xf borderId="2" fillId="0" fontId="10" numFmtId="0" xfId="0" applyAlignment="1" applyBorder="1" applyFont="1">
      <alignment horizontal="center"/>
    </xf>
    <xf borderId="2" fillId="0" fontId="11" numFmtId="0" xfId="0" applyAlignment="1" applyBorder="1" applyFont="1">
      <alignment horizontal="center"/>
    </xf>
    <xf borderId="11" fillId="0" fontId="20" numFmtId="0" xfId="0" applyAlignment="1" applyBorder="1" applyFont="1">
      <alignment horizontal="left" vertical="center"/>
    </xf>
    <xf borderId="6" fillId="0" fontId="7" numFmtId="0" xfId="0" applyBorder="1" applyFont="1"/>
    <xf borderId="1" fillId="0" fontId="10" numFmtId="168" xfId="0" applyAlignment="1" applyBorder="1" applyFont="1" applyNumberFormat="1">
      <alignment horizontal="center"/>
    </xf>
    <xf borderId="1" fillId="0" fontId="10" numFmtId="168" xfId="0" applyAlignment="1" applyBorder="1" applyFont="1" applyNumberFormat="1">
      <alignment horizontal="center" vertical="center"/>
    </xf>
    <xf borderId="0" fillId="0" fontId="21" numFmtId="0" xfId="0" applyFont="1"/>
    <xf borderId="2" fillId="7" fontId="10" numFmtId="0" xfId="0" applyAlignment="1" applyBorder="1" applyFont="1">
      <alignment horizontal="center"/>
    </xf>
    <xf borderId="5" fillId="0" fontId="7" numFmtId="0" xfId="0" applyBorder="1" applyFont="1"/>
    <xf borderId="1" fillId="7" fontId="10" numFmtId="0" xfId="0" applyAlignment="1" applyBorder="1" applyFont="1">
      <alignment horizontal="center"/>
    </xf>
    <xf borderId="11" fillId="0" fontId="10" numFmtId="3" xfId="0" applyAlignment="1" applyBorder="1" applyFont="1" applyNumberFormat="1">
      <alignment horizontal="center" vertical="center"/>
    </xf>
    <xf borderId="1" fillId="0" fontId="10" numFmtId="3" xfId="0" applyAlignment="1" applyBorder="1" applyFont="1" applyNumberFormat="1">
      <alignment horizontal="center"/>
    </xf>
    <xf borderId="1" fillId="0" fontId="22" numFmtId="0" xfId="0" applyBorder="1" applyFont="1"/>
    <xf borderId="11" fillId="0" fontId="23" numFmtId="0" xfId="0" applyAlignment="1" applyBorder="1" applyFont="1">
      <alignment vertical="center"/>
    </xf>
    <xf borderId="1" fillId="0" fontId="10" numFmtId="169" xfId="0" applyAlignment="1" applyBorder="1" applyFont="1" applyNumberFormat="1">
      <alignment horizontal="center"/>
    </xf>
    <xf borderId="2" fillId="0" fontId="10" numFmtId="169" xfId="0" applyAlignment="1" applyBorder="1" applyFont="1" applyNumberFormat="1">
      <alignment horizontal="center"/>
    </xf>
    <xf borderId="1" fillId="0" fontId="11" numFmtId="0" xfId="0" applyAlignment="1" applyBorder="1" applyFont="1">
      <alignment horizontal="center"/>
    </xf>
    <xf borderId="1" fillId="0" fontId="10" numFmtId="0" xfId="0" applyAlignment="1" applyBorder="1" applyFont="1">
      <alignment horizontal="center" shrinkToFit="0" wrapText="1"/>
    </xf>
    <xf borderId="0" fillId="0" fontId="8" numFmtId="3" xfId="0" applyFont="1" applyNumberFormat="1"/>
    <xf borderId="15" fillId="0" fontId="10" numFmtId="0" xfId="0" applyBorder="1" applyFont="1"/>
    <xf borderId="0" fillId="0" fontId="9" numFmtId="0" xfId="0" applyAlignment="1" applyFont="1">
      <alignment shrinkToFit="0" vertical="center" wrapText="1"/>
    </xf>
    <xf borderId="16" fillId="0" fontId="7" numFmtId="0" xfId="0" applyBorder="1" applyFont="1"/>
    <xf borderId="17" fillId="8" fontId="9" numFmtId="0" xfId="0" applyAlignment="1" applyBorder="1" applyFill="1" applyFont="1">
      <alignment horizontal="center"/>
    </xf>
    <xf borderId="18" fillId="0" fontId="7" numFmtId="0" xfId="0" applyBorder="1" applyFont="1"/>
    <xf borderId="19" fillId="0" fontId="7" numFmtId="0" xfId="0" applyBorder="1" applyFont="1"/>
    <xf borderId="20" fillId="0" fontId="9" numFmtId="0" xfId="0" applyAlignment="1" applyBorder="1" applyFont="1">
      <alignment horizontal="center"/>
    </xf>
    <xf borderId="21" fillId="0" fontId="9" numFmtId="0" xfId="0" applyAlignment="1" applyBorder="1" applyFont="1">
      <alignment horizontal="center"/>
    </xf>
    <xf borderId="22" fillId="0" fontId="7" numFmtId="0" xfId="0" applyBorder="1" applyFont="1"/>
    <xf borderId="23" fillId="7" fontId="24" numFmtId="0" xfId="0" applyAlignment="1" applyBorder="1" applyFont="1">
      <alignment horizontal="center"/>
    </xf>
    <xf borderId="24" fillId="0" fontId="10" numFmtId="0" xfId="0" applyBorder="1" applyFont="1"/>
    <xf borderId="22" fillId="0" fontId="10" numFmtId="0" xfId="0" applyBorder="1" applyFont="1"/>
    <xf borderId="15" fillId="0" fontId="9" numFmtId="0" xfId="0" applyAlignment="1" applyBorder="1" applyFont="1">
      <alignment horizontal="center"/>
    </xf>
    <xf borderId="21" fillId="0" fontId="9" numFmtId="0" xfId="0" applyAlignment="1" applyBorder="1" applyFont="1">
      <alignment horizontal="center" vertical="center"/>
    </xf>
    <xf borderId="22" fillId="0" fontId="9" numFmtId="0" xfId="0" applyAlignment="1" applyBorder="1" applyFont="1">
      <alignment horizontal="center" vertical="center"/>
    </xf>
    <xf borderId="20" fillId="0" fontId="9" numFmtId="0" xfId="0" applyAlignment="1" applyBorder="1" applyFont="1">
      <alignment horizontal="center" vertical="center"/>
    </xf>
    <xf borderId="25" fillId="9" fontId="9" numFmtId="0" xfId="0" applyAlignment="1" applyBorder="1" applyFill="1" applyFont="1">
      <alignment horizontal="center" vertical="center"/>
    </xf>
    <xf borderId="26" fillId="0" fontId="7" numFmtId="0" xfId="0" applyBorder="1" applyFont="1"/>
    <xf borderId="16" fillId="0" fontId="10" numFmtId="0" xfId="0" applyBorder="1" applyFont="1"/>
    <xf borderId="0" fillId="0" fontId="11" numFmtId="3" xfId="0" applyAlignment="1" applyFont="1" applyNumberFormat="1">
      <alignment horizontal="right"/>
    </xf>
    <xf borderId="27" fillId="0" fontId="10" numFmtId="10" xfId="0" applyBorder="1" applyFont="1" applyNumberFormat="1"/>
    <xf borderId="28" fillId="0" fontId="10" numFmtId="10" xfId="0" applyBorder="1" applyFont="1" applyNumberFormat="1"/>
    <xf borderId="29" fillId="0" fontId="10" numFmtId="10" xfId="0" applyBorder="1" applyFont="1" applyNumberFormat="1"/>
    <xf borderId="16" fillId="0" fontId="10" numFmtId="10" xfId="0" applyBorder="1" applyFont="1" applyNumberFormat="1"/>
    <xf borderId="30" fillId="0" fontId="10" numFmtId="10" xfId="0" applyBorder="1" applyFont="1" applyNumberFormat="1"/>
    <xf borderId="27" fillId="0" fontId="10" numFmtId="165" xfId="0" applyBorder="1" applyFont="1" applyNumberFormat="1"/>
    <xf borderId="30" fillId="0" fontId="10" numFmtId="165" xfId="0" applyBorder="1" applyFont="1" applyNumberFormat="1"/>
    <xf borderId="29" fillId="0" fontId="10" numFmtId="165" xfId="0" applyBorder="1" applyFont="1" applyNumberFormat="1"/>
    <xf borderId="29" fillId="0" fontId="10" numFmtId="0" xfId="0" applyBorder="1" applyFont="1"/>
    <xf borderId="31" fillId="0" fontId="10" numFmtId="0" xfId="0" applyBorder="1" applyFont="1"/>
    <xf borderId="15" fillId="0" fontId="11" numFmtId="3" xfId="0" applyAlignment="1" applyBorder="1" applyFont="1" applyNumberFormat="1">
      <alignment horizontal="right"/>
    </xf>
    <xf borderId="32" fillId="0" fontId="10" numFmtId="10" xfId="0" applyBorder="1" applyFont="1" applyNumberFormat="1"/>
    <xf borderId="31" fillId="0" fontId="10" numFmtId="10" xfId="0" applyBorder="1" applyFont="1" applyNumberFormat="1"/>
    <xf borderId="15" fillId="0" fontId="10" numFmtId="10" xfId="0" applyBorder="1" applyFont="1" applyNumberFormat="1"/>
    <xf borderId="32" fillId="0" fontId="10" numFmtId="165" xfId="0" applyBorder="1" applyFont="1" applyNumberFormat="1"/>
    <xf borderId="15" fillId="0" fontId="10" numFmtId="165" xfId="0" applyBorder="1" applyFont="1" applyNumberFormat="1"/>
    <xf borderId="0" fillId="0" fontId="9" numFmtId="165" xfId="0" applyFont="1" applyNumberFormat="1"/>
    <xf borderId="0" fillId="0" fontId="9" numFmtId="10" xfId="0" applyFont="1" applyNumberFormat="1"/>
    <xf borderId="0" fillId="0" fontId="25" numFmtId="0" xfId="0" applyAlignment="1" applyFont="1">
      <alignment readingOrder="0"/>
    </xf>
    <xf borderId="0" fillId="0" fontId="26" numFmtId="0" xfId="0" applyFont="1"/>
    <xf borderId="0" fillId="0" fontId="9" numFmtId="0" xfId="0" applyAlignment="1" applyFont="1">
      <alignment horizontal="center"/>
    </xf>
    <xf borderId="24" fillId="0" fontId="7" numFmtId="0" xfId="0" applyBorder="1" applyFont="1"/>
    <xf borderId="33" fillId="0" fontId="9" numFmtId="0" xfId="0" applyAlignment="1" applyBorder="1" applyFont="1">
      <alignment horizontal="center" shrinkToFit="0" vertical="center" wrapText="1"/>
    </xf>
    <xf borderId="34" fillId="0" fontId="7" numFmtId="0" xfId="0" applyBorder="1" applyFont="1"/>
    <xf borderId="0" fillId="0" fontId="27" numFmtId="0" xfId="0" applyFont="1"/>
    <xf borderId="0" fillId="0" fontId="10" numFmtId="4" xfId="0" applyAlignment="1" applyFont="1" applyNumberFormat="1">
      <alignment horizontal="right"/>
    </xf>
    <xf borderId="35" fillId="0" fontId="10" numFmtId="4" xfId="0" applyBorder="1" applyFont="1" applyNumberFormat="1"/>
    <xf borderId="28" fillId="0" fontId="10" numFmtId="165" xfId="0" applyBorder="1" applyFont="1" applyNumberFormat="1"/>
    <xf borderId="0" fillId="0" fontId="11" numFmtId="4" xfId="0" applyAlignment="1" applyFont="1" applyNumberFormat="1">
      <alignment horizontal="right"/>
    </xf>
    <xf borderId="16" fillId="0" fontId="10" numFmtId="165" xfId="0" applyBorder="1" applyFont="1" applyNumberFormat="1"/>
    <xf borderId="15" fillId="0" fontId="10" numFmtId="4" xfId="0" applyAlignment="1" applyBorder="1" applyFont="1" applyNumberFormat="1">
      <alignment horizontal="right"/>
    </xf>
    <xf borderId="34" fillId="0" fontId="10" numFmtId="4" xfId="0" applyBorder="1" applyFont="1" applyNumberFormat="1"/>
    <xf borderId="31" fillId="0" fontId="10" numFmtId="165" xfId="0" applyBorder="1" applyFont="1" applyNumberFormat="1"/>
    <xf borderId="21" fillId="7" fontId="9" numFmtId="0" xfId="0" applyBorder="1" applyFont="1"/>
    <xf borderId="33" fillId="0" fontId="9" numFmtId="0" xfId="0" applyBorder="1" applyFont="1"/>
    <xf borderId="16" fillId="0" fontId="10" numFmtId="164" xfId="0" applyBorder="1" applyFont="1" applyNumberFormat="1"/>
    <xf borderId="35" fillId="0" fontId="9" numFmtId="0" xfId="0" applyBorder="1" applyFont="1"/>
    <xf borderId="34" fillId="0" fontId="9" numFmtId="0" xfId="0" applyBorder="1" applyFont="1"/>
    <xf borderId="31" fillId="0" fontId="10" numFmtId="164" xfId="0" applyBorder="1" applyFont="1" applyNumberFormat="1"/>
    <xf borderId="4" fillId="10" fontId="28" numFmtId="0" xfId="0" applyBorder="1" applyFill="1" applyFont="1"/>
    <xf borderId="4" fillId="10" fontId="29" numFmtId="0" xfId="0" applyBorder="1" applyFont="1"/>
    <xf borderId="0" fillId="0" fontId="30" numFmtId="0" xfId="0" applyFont="1"/>
    <xf borderId="0" fillId="0" fontId="29" numFmtId="0" xfId="0" applyFont="1"/>
    <xf borderId="36" fillId="11" fontId="28" numFmtId="0" xfId="0" applyAlignment="1" applyBorder="1" applyFill="1" applyFont="1">
      <alignment horizontal="center"/>
    </xf>
    <xf borderId="37" fillId="0" fontId="7" numFmtId="0" xfId="0" applyBorder="1" applyFont="1"/>
    <xf borderId="38" fillId="12" fontId="28" numFmtId="0" xfId="0" applyAlignment="1" applyBorder="1" applyFill="1" applyFont="1">
      <alignment horizontal="center"/>
    </xf>
    <xf borderId="39" fillId="0" fontId="7" numFmtId="0" xfId="0" applyBorder="1" applyFont="1"/>
    <xf borderId="38" fillId="11" fontId="28" numFmtId="0" xfId="0" applyAlignment="1" applyBorder="1" applyFont="1">
      <alignment horizontal="center"/>
    </xf>
    <xf borderId="4" fillId="3" fontId="29" numFmtId="0" xfId="0" applyBorder="1" applyFont="1"/>
    <xf borderId="40" fillId="13" fontId="28" numFmtId="0" xfId="0" applyAlignment="1" applyBorder="1" applyFill="1" applyFont="1">
      <alignment horizontal="center" shrinkToFit="0" vertical="center" wrapText="1"/>
    </xf>
    <xf borderId="41" fillId="13" fontId="28" numFmtId="0" xfId="0" applyAlignment="1" applyBorder="1" applyFont="1">
      <alignment horizontal="center" shrinkToFit="0" vertical="center" wrapText="1"/>
    </xf>
    <xf borderId="4" fillId="13" fontId="28" numFmtId="0" xfId="0" applyAlignment="1" applyBorder="1" applyFont="1">
      <alignment horizontal="center" shrinkToFit="0" vertical="center" wrapText="1"/>
    </xf>
    <xf borderId="11" fillId="0" fontId="31" numFmtId="0" xfId="0" applyBorder="1" applyFont="1"/>
    <xf borderId="0" fillId="0" fontId="31" numFmtId="3" xfId="0" applyFont="1" applyNumberFormat="1"/>
    <xf borderId="12" fillId="0" fontId="31" numFmtId="3" xfId="0" applyAlignment="1" applyBorder="1" applyFont="1" applyNumberFormat="1">
      <alignment horizontal="right"/>
    </xf>
    <xf borderId="11" fillId="0" fontId="31" numFmtId="3" xfId="0" applyBorder="1" applyFont="1" applyNumberFormat="1"/>
    <xf borderId="11" fillId="0" fontId="31" numFmtId="3" xfId="0" applyAlignment="1" applyBorder="1" applyFont="1" applyNumberFormat="1">
      <alignment horizontal="right"/>
    </xf>
    <xf borderId="12" fillId="0" fontId="31" numFmtId="3" xfId="0" applyBorder="1" applyFont="1" applyNumberFormat="1"/>
    <xf borderId="13" fillId="0" fontId="31" numFmtId="3" xfId="0" applyBorder="1" applyFont="1" applyNumberFormat="1"/>
    <xf borderId="8" fillId="0" fontId="31" numFmtId="0" xfId="0" applyBorder="1" applyFont="1"/>
    <xf borderId="8" fillId="0" fontId="31" numFmtId="3" xfId="0" applyAlignment="1" applyBorder="1" applyFont="1" applyNumberFormat="1">
      <alignment horizontal="right"/>
    </xf>
    <xf borderId="8" fillId="0" fontId="31" numFmtId="3" xfId="0" applyBorder="1" applyFont="1" applyNumberFormat="1"/>
    <xf borderId="6" fillId="0" fontId="29" numFmtId="3" xfId="0" applyAlignment="1" applyBorder="1" applyFont="1" applyNumberFormat="1">
      <alignment horizontal="right"/>
    </xf>
    <xf borderId="14" fillId="0" fontId="31" numFmtId="3" xfId="0" applyBorder="1" applyFont="1" applyNumberFormat="1"/>
    <xf borderId="10" fillId="0" fontId="31" numFmtId="3" xfId="0" applyBorder="1" applyFont="1" applyNumberFormat="1"/>
    <xf borderId="0" fillId="0" fontId="29" numFmtId="10" xfId="0" applyFont="1" applyNumberFormat="1"/>
    <xf borderId="9" fillId="0" fontId="31" numFmtId="0" xfId="0" applyBorder="1" applyFont="1"/>
    <xf borderId="2" fillId="0" fontId="31" numFmtId="3" xfId="0" applyBorder="1" applyFont="1" applyNumberFormat="1"/>
    <xf borderId="3" fillId="0" fontId="31" numFmtId="3" xfId="0" applyBorder="1" applyFont="1" applyNumberFormat="1"/>
    <xf borderId="1" fillId="0" fontId="31" numFmtId="3" xfId="0" applyAlignment="1" applyBorder="1" applyFont="1" applyNumberFormat="1">
      <alignment horizontal="right"/>
    </xf>
    <xf borderId="1" fillId="0" fontId="32" numFmtId="3" xfId="0" applyBorder="1" applyFont="1" applyNumberFormat="1"/>
    <xf borderId="0" fillId="0" fontId="31" numFmtId="0" xfId="0" applyFont="1"/>
    <xf borderId="42" fillId="12" fontId="9" numFmtId="0" xfId="0" applyAlignment="1" applyBorder="1" applyFont="1">
      <alignment horizontal="center"/>
    </xf>
    <xf borderId="43" fillId="0" fontId="7" numFmtId="0" xfId="0" applyBorder="1" applyFont="1"/>
    <xf borderId="44" fillId="0" fontId="7" numFmtId="0" xfId="0" applyBorder="1" applyFont="1"/>
    <xf borderId="2" fillId="0" fontId="9" numFmtId="0" xfId="0" applyAlignment="1" applyBorder="1" applyFont="1">
      <alignment horizontal="center"/>
    </xf>
    <xf borderId="5" fillId="0" fontId="9" numFmtId="0" xfId="0" applyAlignment="1" applyBorder="1" applyFont="1">
      <alignment horizontal="center"/>
    </xf>
    <xf borderId="0" fillId="0" fontId="11" numFmtId="0" xfId="0" applyFont="1"/>
    <xf borderId="5" fillId="0" fontId="10" numFmtId="0" xfId="0" applyAlignment="1" applyBorder="1" applyFont="1">
      <alignment horizontal="center"/>
    </xf>
    <xf borderId="8" fillId="0" fontId="33" numFmtId="0" xfId="0" applyBorder="1" applyFont="1"/>
    <xf borderId="9" fillId="0" fontId="10" numFmtId="0" xfId="0" applyAlignment="1" applyBorder="1" applyFont="1">
      <alignment horizontal="center"/>
    </xf>
    <xf borderId="10" fillId="0" fontId="10" numFmtId="0" xfId="0" applyAlignment="1" applyBorder="1" applyFont="1">
      <alignment horizontal="center"/>
    </xf>
    <xf borderId="9" fillId="0" fontId="9" numFmtId="0" xfId="0" applyAlignment="1" applyBorder="1" applyFont="1">
      <alignment horizontal="center"/>
    </xf>
    <xf borderId="10" fillId="0" fontId="9" numFmtId="0" xfId="0" applyAlignment="1" applyBorder="1" applyFont="1">
      <alignment horizontal="center"/>
    </xf>
    <xf borderId="6" fillId="0" fontId="34" numFmtId="0" xfId="0" applyBorder="1" applyFont="1"/>
    <xf borderId="0" fillId="0" fontId="11" numFmtId="3" xfId="0" applyFont="1" applyNumberFormat="1"/>
    <xf borderId="7" fillId="0" fontId="10" numFmtId="3" xfId="0" applyBorder="1" applyFont="1" applyNumberFormat="1"/>
    <xf borderId="0" fillId="0" fontId="9" numFmtId="3" xfId="0" applyFont="1" applyNumberFormat="1"/>
    <xf borderId="7" fillId="0" fontId="9" numFmtId="3" xfId="0" applyBorder="1" applyFont="1" applyNumberFormat="1"/>
    <xf borderId="8" fillId="0" fontId="34" numFmtId="0" xfId="0" applyBorder="1" applyFont="1"/>
    <xf borderId="8" fillId="0" fontId="9" numFmtId="0" xfId="0" applyBorder="1" applyFont="1"/>
    <xf borderId="2" fillId="0" fontId="10" numFmtId="3" xfId="0" applyBorder="1" applyFont="1" applyNumberFormat="1"/>
    <xf borderId="5" fillId="0" fontId="10" numFmtId="3" xfId="0" applyBorder="1" applyFont="1" applyNumberFormat="1"/>
    <xf borderId="3" fillId="0" fontId="10" numFmtId="3" xfId="0" applyBorder="1" applyFont="1" applyNumberFormat="1"/>
    <xf borderId="14" fillId="0" fontId="9" numFmtId="3" xfId="0" applyBorder="1" applyFont="1" applyNumberFormat="1"/>
    <xf borderId="9" fillId="0" fontId="9" numFmtId="3" xfId="0" applyBorder="1" applyFont="1" applyNumberFormat="1"/>
    <xf borderId="10" fillId="0" fontId="9" numFmtId="3" xfId="0" applyBorder="1" applyFont="1" applyNumberFormat="1"/>
    <xf borderId="4" fillId="14" fontId="35" numFmtId="0" xfId="0" applyBorder="1" applyFill="1" applyFont="1"/>
    <xf borderId="4" fillId="14" fontId="29" numFmtId="0" xfId="0" applyAlignment="1" applyBorder="1" applyFont="1">
      <alignment horizontal="right"/>
    </xf>
    <xf borderId="4" fillId="14" fontId="34" numFmtId="0" xfId="0" applyAlignment="1" applyBorder="1" applyFont="1">
      <alignment horizontal="right"/>
    </xf>
    <xf borderId="4" fillId="14" fontId="11" numFmtId="0" xfId="0" applyBorder="1" applyFont="1"/>
    <xf borderId="1" fillId="0" fontId="33" numFmtId="0" xfId="0" applyBorder="1" applyFont="1"/>
    <xf borderId="5" fillId="0" fontId="33" numFmtId="0" xfId="0" applyBorder="1" applyFont="1"/>
    <xf borderId="1" fillId="0" fontId="31" numFmtId="0" xfId="0" applyBorder="1" applyFont="1"/>
    <xf borderId="5" fillId="0" fontId="32" numFmtId="0" xfId="0" applyAlignment="1" applyBorder="1" applyFont="1">
      <alignment horizontal="center"/>
    </xf>
    <xf borderId="3" fillId="0" fontId="32" numFmtId="0" xfId="0" applyAlignment="1" applyBorder="1" applyFont="1">
      <alignment horizontal="center"/>
    </xf>
    <xf borderId="1" fillId="0" fontId="32" numFmtId="0" xfId="0" applyAlignment="1" applyBorder="1" applyFont="1">
      <alignment horizontal="center"/>
    </xf>
    <xf borderId="0" fillId="0" fontId="32" numFmtId="0" xfId="0" applyAlignment="1" applyFont="1">
      <alignment horizontal="center"/>
    </xf>
    <xf borderId="0" fillId="0" fontId="34" numFmtId="169" xfId="0" applyAlignment="1" applyFont="1" applyNumberFormat="1">
      <alignment horizontal="right"/>
    </xf>
    <xf borderId="6" fillId="0" fontId="31" numFmtId="169" xfId="0" applyBorder="1" applyFont="1" applyNumberFormat="1"/>
    <xf borderId="6" fillId="0" fontId="29" numFmtId="0" xfId="0" applyBorder="1" applyFont="1"/>
    <xf borderId="0" fillId="0" fontId="29" numFmtId="3" xfId="0" applyAlignment="1" applyFont="1" applyNumberFormat="1">
      <alignment horizontal="right"/>
    </xf>
    <xf borderId="6" fillId="0" fontId="31" numFmtId="3" xfId="0" applyBorder="1" applyFont="1" applyNumberFormat="1"/>
    <xf borderId="6" fillId="0" fontId="31" numFmtId="10" xfId="0" applyBorder="1" applyFont="1" applyNumberFormat="1"/>
    <xf borderId="0" fillId="0" fontId="31" numFmtId="10" xfId="0" applyFont="1" applyNumberFormat="1"/>
    <xf borderId="1" fillId="0" fontId="29" numFmtId="0" xfId="0" applyBorder="1" applyFont="1"/>
    <xf borderId="5" fillId="0" fontId="29" numFmtId="169" xfId="0" applyBorder="1" applyFont="1" applyNumberFormat="1"/>
    <xf borderId="1" fillId="9" fontId="31" numFmtId="169" xfId="0" applyBorder="1" applyFont="1" applyNumberFormat="1"/>
    <xf borderId="4" fillId="15" fontId="10" numFmtId="0" xfId="0" applyBorder="1" applyFill="1" applyFont="1"/>
    <xf borderId="4" fillId="15" fontId="10" numFmtId="169" xfId="0" applyBorder="1" applyFont="1" applyNumberFormat="1"/>
    <xf borderId="3" fillId="0" fontId="33" numFmtId="0" xfId="0" applyBorder="1" applyFont="1"/>
    <xf borderId="1" fillId="0" fontId="32" numFmtId="0" xfId="0" applyBorder="1" applyFont="1"/>
    <xf borderId="7" fillId="0" fontId="34" numFmtId="0" xfId="0" applyBorder="1" applyFont="1"/>
    <xf borderId="8" fillId="0" fontId="29" numFmtId="0" xfId="0" applyBorder="1" applyFont="1"/>
    <xf borderId="0" fillId="0" fontId="29" numFmtId="165" xfId="0" applyAlignment="1" applyFont="1" applyNumberFormat="1">
      <alignment horizontal="right"/>
    </xf>
    <xf borderId="8" fillId="0" fontId="31" numFmtId="10" xfId="0" applyBorder="1" applyFont="1" applyNumberFormat="1"/>
    <xf borderId="5" fillId="0" fontId="31" numFmtId="3" xfId="0" applyBorder="1" applyFont="1" applyNumberFormat="1"/>
    <xf borderId="1" fillId="0" fontId="31" numFmtId="10" xfId="0" applyBorder="1" applyFont="1" applyNumberFormat="1"/>
    <xf borderId="3" fillId="0" fontId="10" numFmtId="0" xfId="0" applyAlignment="1" applyBorder="1" applyFont="1">
      <alignment horizontal="center"/>
    </xf>
    <xf borderId="6" fillId="0" fontId="34" numFmtId="0" xfId="0" applyAlignment="1" applyBorder="1" applyFont="1">
      <alignment horizontal="left"/>
    </xf>
    <xf borderId="7" fillId="0" fontId="10" numFmtId="165" xfId="0" applyBorder="1" applyFont="1" applyNumberFormat="1"/>
    <xf borderId="3" fillId="0" fontId="34" numFmtId="2" xfId="0" applyAlignment="1" applyBorder="1" applyFont="1" applyNumberFormat="1">
      <alignment horizontal="right"/>
    </xf>
    <xf borderId="5" fillId="0" fontId="34" numFmtId="2" xfId="0" applyAlignment="1" applyBorder="1" applyFont="1" applyNumberFormat="1">
      <alignment horizontal="right"/>
    </xf>
    <xf borderId="1" fillId="9" fontId="34" numFmtId="2" xfId="0" applyAlignment="1" applyBorder="1" applyFont="1" applyNumberFormat="1">
      <alignment horizontal="right"/>
    </xf>
    <xf borderId="4" fillId="14" fontId="34" numFmtId="169" xfId="0" applyAlignment="1" applyBorder="1" applyFont="1" applyNumberFormat="1">
      <alignment horizontal="right"/>
    </xf>
    <xf borderId="4" fillId="14" fontId="11" numFmtId="165" xfId="0" applyBorder="1" applyFont="1" applyNumberFormat="1"/>
    <xf borderId="0" fillId="0" fontId="11" numFmtId="169" xfId="0" applyFont="1" applyNumberFormat="1"/>
    <xf borderId="25" fillId="10" fontId="28" numFmtId="0" xfId="0" applyBorder="1" applyFont="1"/>
    <xf borderId="1" fillId="0" fontId="33" numFmtId="169" xfId="0" applyBorder="1" applyFont="1" applyNumberFormat="1"/>
    <xf borderId="0" fillId="0" fontId="34" numFmtId="165" xfId="0" applyAlignment="1" applyFont="1" applyNumberFormat="1">
      <alignment horizontal="right"/>
    </xf>
    <xf borderId="6" fillId="0" fontId="31" numFmtId="169" xfId="0" applyAlignment="1" applyBorder="1" applyFont="1" applyNumberFormat="1">
      <alignment horizontal="right"/>
    </xf>
    <xf borderId="1" fillId="0" fontId="34" numFmtId="0" xfId="0" applyBorder="1" applyFont="1"/>
    <xf borderId="5" fillId="0" fontId="34" numFmtId="165" xfId="0" applyAlignment="1" applyBorder="1" applyFont="1" applyNumberFormat="1">
      <alignment horizontal="right"/>
    </xf>
    <xf borderId="1" fillId="15" fontId="36" numFmtId="169" xfId="0" applyAlignment="1" applyBorder="1" applyFont="1" applyNumberFormat="1">
      <alignment horizontal="right"/>
    </xf>
    <xf borderId="1" fillId="0" fontId="32" numFmtId="169" xfId="0" applyBorder="1" applyFont="1" applyNumberFormat="1"/>
    <xf borderId="0" fillId="0" fontId="31" numFmtId="165" xfId="0" applyFont="1" applyNumberFormat="1"/>
    <xf borderId="3" fillId="0" fontId="34" numFmtId="0" xfId="0" applyAlignment="1" applyBorder="1" applyFont="1">
      <alignment horizontal="right"/>
    </xf>
    <xf borderId="4" fillId="16" fontId="10" numFmtId="0" xfId="0" applyBorder="1" applyFill="1" applyFont="1"/>
    <xf borderId="4" fillId="7" fontId="29" numFmtId="0" xfId="0" applyBorder="1" applyFont="1"/>
    <xf borderId="4" fillId="7" fontId="10" numFmtId="0" xfId="0" applyBorder="1" applyFont="1"/>
    <xf borderId="0" fillId="0" fontId="34" numFmtId="0" xfId="0" applyAlignment="1" applyFont="1">
      <alignment horizontal="right"/>
    </xf>
    <xf borderId="7" fillId="0" fontId="34" numFmtId="0" xfId="0" applyAlignment="1" applyBorder="1" applyFont="1">
      <alignment horizontal="right"/>
    </xf>
    <xf borderId="9" fillId="0" fontId="10" numFmtId="165" xfId="0" applyBorder="1" applyFont="1" applyNumberFormat="1"/>
    <xf borderId="10" fillId="0" fontId="10" numFmtId="165" xfId="0" applyBorder="1" applyFont="1" applyNumberFormat="1"/>
    <xf borderId="2" fillId="0" fontId="10" numFmtId="165" xfId="0" applyBorder="1" applyFont="1" applyNumberFormat="1"/>
    <xf borderId="3" fillId="0" fontId="10" numFmtId="165" xfId="0" applyBorder="1" applyFont="1" applyNumberFormat="1"/>
    <xf borderId="5" fillId="0" fontId="9" numFmtId="165" xfId="0" applyBorder="1" applyFont="1" applyNumberFormat="1"/>
    <xf borderId="3" fillId="0" fontId="9" numFmtId="165" xfId="0" applyBorder="1" applyFont="1" applyNumberFormat="1"/>
    <xf borderId="9" fillId="0" fontId="34" numFmtId="0" xfId="0" applyAlignment="1" applyBorder="1" applyFont="1">
      <alignment horizontal="right"/>
    </xf>
    <xf borderId="10" fillId="0" fontId="34" numFmtId="0" xfId="0" applyAlignment="1" applyBorder="1" applyFont="1">
      <alignment horizontal="right"/>
    </xf>
    <xf borderId="6" fillId="0" fontId="29" numFmtId="0" xfId="0" applyAlignment="1" applyBorder="1" applyFont="1">
      <alignment horizontal="left"/>
    </xf>
    <xf borderId="0" fillId="0" fontId="33" numFmtId="0" xfId="0" applyFont="1"/>
    <xf borderId="2" fillId="0" fontId="33" numFmtId="0" xfId="0" applyBorder="1" applyFont="1"/>
    <xf borderId="0" fillId="0" fontId="29" numFmtId="169" xfId="0" applyAlignment="1" applyFont="1" applyNumberFormat="1">
      <alignment horizontal="left"/>
    </xf>
    <xf borderId="0" fillId="0" fontId="29" numFmtId="169" xfId="0" applyAlignment="1" applyFont="1" applyNumberFormat="1">
      <alignment horizontal="right"/>
    </xf>
    <xf borderId="0" fillId="0" fontId="10" numFmtId="0" xfId="0" applyAlignment="1" applyFont="1">
      <alignment readingOrder="0"/>
    </xf>
    <xf borderId="4" fillId="3" fontId="9" numFmtId="0" xfId="0" applyBorder="1" applyFont="1"/>
    <xf borderId="9" fillId="0" fontId="12" numFmtId="0" xfId="0" applyAlignment="1" applyBorder="1" applyFont="1">
      <alignment horizontal="center"/>
    </xf>
    <xf borderId="9" fillId="0" fontId="7" numFmtId="0" xfId="0" applyBorder="1" applyFont="1"/>
    <xf borderId="1" fillId="7" fontId="10" numFmtId="0" xfId="0" applyBorder="1" applyFont="1"/>
    <xf borderId="45" fillId="7" fontId="10" numFmtId="0" xfId="0" applyAlignment="1" applyBorder="1" applyFont="1">
      <alignment horizontal="center"/>
    </xf>
    <xf borderId="45" fillId="7" fontId="37" numFmtId="0" xfId="0" applyAlignment="1" applyBorder="1" applyFont="1">
      <alignment horizontal="center"/>
    </xf>
    <xf borderId="46" fillId="7" fontId="10" numFmtId="0" xfId="0" applyAlignment="1" applyBorder="1" applyFont="1">
      <alignment horizontal="center"/>
    </xf>
    <xf borderId="47" fillId="7" fontId="10" numFmtId="0" xfId="0" applyBorder="1" applyFont="1"/>
    <xf borderId="7" fillId="0" fontId="11" numFmtId="0" xfId="0" applyBorder="1" applyFont="1"/>
    <xf borderId="48" fillId="17" fontId="9" numFmtId="0" xfId="0" applyBorder="1" applyFill="1" applyFont="1"/>
    <xf borderId="12" fillId="0" fontId="11" numFmtId="170" xfId="0" applyBorder="1" applyFont="1" applyNumberFormat="1"/>
    <xf borderId="49" fillId="0" fontId="7" numFmtId="0" xfId="0" applyBorder="1" applyFont="1"/>
    <xf borderId="47" fillId="17" fontId="10" numFmtId="0" xfId="0" applyBorder="1" applyFont="1"/>
    <xf borderId="50" fillId="0" fontId="11" numFmtId="170" xfId="0" applyBorder="1" applyFont="1" applyNumberFormat="1"/>
    <xf borderId="0" fillId="0" fontId="11" numFmtId="170" xfId="0" applyFont="1" applyNumberFormat="1"/>
    <xf borderId="7" fillId="0" fontId="11" numFmtId="170" xfId="0" applyBorder="1" applyFont="1" applyNumberFormat="1"/>
    <xf borderId="48" fillId="7" fontId="9" numFmtId="0" xfId="0" applyBorder="1" applyFont="1"/>
    <xf borderId="2" fillId="0" fontId="11" numFmtId="170" xfId="0" applyBorder="1" applyFont="1" applyNumberFormat="1"/>
    <xf borderId="5" fillId="0" fontId="11" numFmtId="170" xfId="0" applyBorder="1" applyFont="1" applyNumberFormat="1"/>
    <xf borderId="3" fillId="0" fontId="11" numFmtId="170" xfId="0" applyBorder="1" applyFont="1" applyNumberFormat="1"/>
    <xf borderId="0" fillId="0" fontId="29" numFmtId="0" xfId="0" applyAlignment="1" applyFont="1">
      <alignment horizontal="center"/>
    </xf>
    <xf borderId="0" fillId="0" fontId="11" numFmtId="0" xfId="0" applyAlignment="1" applyFont="1">
      <alignment horizontal="left"/>
    </xf>
    <xf borderId="0" fillId="0" fontId="11" numFmtId="10" xfId="0" applyAlignment="1" applyFont="1" applyNumberFormat="1">
      <alignment horizontal="right"/>
    </xf>
    <xf borderId="0" fillId="0" fontId="30" numFmtId="0" xfId="0" applyAlignment="1" applyFont="1">
      <alignment horizontal="left"/>
    </xf>
    <xf borderId="0" fillId="0" fontId="38" numFmtId="0" xfId="0" applyFont="1"/>
    <xf borderId="2" fillId="13" fontId="24" numFmtId="0" xfId="0" applyAlignment="1" applyBorder="1" applyFont="1">
      <alignment horizontal="center"/>
    </xf>
    <xf borderId="51" fillId="13" fontId="9" numFmtId="0" xfId="0" applyBorder="1" applyFont="1"/>
    <xf borderId="52" fillId="11" fontId="39" numFmtId="0" xfId="0" applyAlignment="1" applyBorder="1" applyFont="1">
      <alignment horizontal="center"/>
    </xf>
    <xf borderId="52" fillId="12" fontId="40" numFmtId="0" xfId="0" applyAlignment="1" applyBorder="1" applyFont="1">
      <alignment horizontal="center"/>
    </xf>
    <xf borderId="51" fillId="13" fontId="10" numFmtId="0" xfId="0" applyBorder="1" applyFont="1"/>
    <xf borderId="52" fillId="13" fontId="9" numFmtId="0" xfId="0" applyAlignment="1" applyBorder="1" applyFont="1">
      <alignment horizontal="center"/>
    </xf>
    <xf borderId="40" fillId="13" fontId="9" numFmtId="0" xfId="0" applyBorder="1" applyFont="1"/>
    <xf borderId="12" fillId="0" fontId="41" numFmtId="9" xfId="0" applyAlignment="1" applyBorder="1" applyFont="1" applyNumberFormat="1">
      <alignment horizontal="center"/>
    </xf>
    <xf borderId="49" fillId="0" fontId="10" numFmtId="9" xfId="0" applyAlignment="1" applyBorder="1" applyFont="1" applyNumberFormat="1">
      <alignment horizontal="center"/>
    </xf>
    <xf borderId="13" fillId="0" fontId="41" numFmtId="9" xfId="0" applyAlignment="1" applyBorder="1" applyFont="1" applyNumberFormat="1">
      <alignment horizontal="center"/>
    </xf>
    <xf borderId="49" fillId="0" fontId="37" numFmtId="9" xfId="0" applyAlignment="1" applyBorder="1" applyFont="1" applyNumberFormat="1">
      <alignment horizontal="center"/>
    </xf>
    <xf borderId="13" fillId="0" fontId="37" numFmtId="9" xfId="0" applyAlignment="1" applyBorder="1" applyFont="1" applyNumberFormat="1">
      <alignment horizontal="center"/>
    </xf>
    <xf borderId="12" fillId="0" fontId="37" numFmtId="9" xfId="0" applyAlignment="1" applyBorder="1" applyFont="1" applyNumberFormat="1">
      <alignment horizontal="center"/>
    </xf>
    <xf borderId="12" fillId="0" fontId="37" numFmtId="3" xfId="0" applyBorder="1" applyFont="1" applyNumberFormat="1"/>
    <xf borderId="49" fillId="0" fontId="10" numFmtId="3" xfId="0" applyBorder="1" applyFont="1" applyNumberFormat="1"/>
    <xf borderId="13" fillId="0" fontId="37" numFmtId="3" xfId="0" applyBorder="1" applyFont="1" applyNumberFormat="1"/>
    <xf borderId="49" fillId="0" fontId="37" numFmtId="3" xfId="0" applyBorder="1" applyFont="1" applyNumberFormat="1"/>
    <xf borderId="50" fillId="0" fontId="37" numFmtId="3" xfId="0" applyBorder="1" applyFont="1" applyNumberFormat="1"/>
    <xf borderId="7" fillId="0" fontId="37" numFmtId="3" xfId="0" applyBorder="1" applyFont="1" applyNumberFormat="1"/>
    <xf borderId="0" fillId="0" fontId="37" numFmtId="3" xfId="0" applyFont="1" applyNumberFormat="1"/>
    <xf borderId="53" fillId="13" fontId="9" numFmtId="0" xfId="0" applyBorder="1" applyFont="1"/>
    <xf borderId="2" fillId="0" fontId="37" numFmtId="3" xfId="0" applyBorder="1" applyFont="1" applyNumberFormat="1"/>
    <xf borderId="3" fillId="0" fontId="37" numFmtId="3" xfId="0" applyBorder="1" applyFont="1" applyNumberFormat="1"/>
    <xf borderId="5" fillId="0" fontId="37" numFmtId="3" xfId="0" applyBorder="1" applyFont="1" applyNumberFormat="1"/>
    <xf borderId="25" fillId="7" fontId="9" numFmtId="0" xfId="0" applyAlignment="1" applyBorder="1" applyFont="1">
      <alignment horizontal="center"/>
    </xf>
    <xf borderId="11" fillId="0" fontId="10" numFmtId="3" xfId="0" applyBorder="1" applyFont="1" applyNumberFormat="1"/>
    <xf borderId="1" fillId="0" fontId="10" numFmtId="3" xfId="0" applyBorder="1" applyFont="1" applyNumberFormat="1"/>
    <xf borderId="0" fillId="0" fontId="42" numFmtId="0" xfId="0" applyAlignment="1" applyFont="1">
      <alignment horizontal="left"/>
    </xf>
    <xf borderId="0" fillId="0" fontId="37" numFmtId="4" xfId="0" applyFont="1" applyNumberFormat="1"/>
    <xf borderId="2" fillId="0" fontId="12" numFmtId="0" xfId="0" applyAlignment="1" applyBorder="1" applyFont="1">
      <alignment horizontal="center"/>
    </xf>
    <xf borderId="14" fillId="0" fontId="9" numFmtId="0" xfId="0" applyAlignment="1" applyBorder="1" applyFont="1">
      <alignment horizontal="center"/>
    </xf>
    <xf borderId="8" fillId="0" fontId="10" numFmtId="0" xfId="0" applyBorder="1" applyFont="1"/>
    <xf borderId="14" fillId="0" fontId="10" numFmtId="0" xfId="0" applyAlignment="1" applyBorder="1" applyFont="1">
      <alignment horizontal="center"/>
    </xf>
    <xf borderId="50" fillId="0" fontId="10" numFmtId="0" xfId="0" applyAlignment="1" applyBorder="1" applyFont="1">
      <alignment horizontal="center"/>
    </xf>
    <xf borderId="12" fillId="0" fontId="10" numFmtId="3" xfId="0" applyBorder="1" applyFont="1" applyNumberFormat="1"/>
    <xf borderId="13" fillId="0" fontId="10" numFmtId="3" xfId="0" applyBorder="1" applyFont="1" applyNumberFormat="1"/>
    <xf borderId="0" fillId="0" fontId="10" numFmtId="171" xfId="0" applyFont="1" applyNumberFormat="1"/>
    <xf borderId="12" fillId="0" fontId="10" numFmtId="171" xfId="0" applyBorder="1" applyFont="1" applyNumberFormat="1"/>
    <xf borderId="49" fillId="0" fontId="10" numFmtId="171" xfId="0" applyBorder="1" applyFont="1" applyNumberFormat="1"/>
    <xf borderId="13" fillId="0" fontId="10" numFmtId="171" xfId="0" applyBorder="1" applyFont="1" applyNumberFormat="1"/>
    <xf borderId="50" fillId="0" fontId="10" numFmtId="3" xfId="0" applyBorder="1" applyFont="1" applyNumberFormat="1"/>
    <xf borderId="50" fillId="0" fontId="10" numFmtId="171" xfId="0" applyBorder="1" applyFont="1" applyNumberFormat="1"/>
    <xf borderId="7" fillId="0" fontId="10" numFmtId="171" xfId="0" applyBorder="1" applyFont="1" applyNumberFormat="1"/>
    <xf borderId="14" fillId="0" fontId="10" numFmtId="3" xfId="0" applyBorder="1" applyFont="1" applyNumberFormat="1"/>
    <xf borderId="9" fillId="0" fontId="10" numFmtId="3" xfId="0" applyBorder="1" applyFont="1" applyNumberFormat="1"/>
    <xf borderId="10" fillId="0" fontId="10" numFmtId="3" xfId="0" applyBorder="1" applyFont="1" applyNumberFormat="1"/>
    <xf borderId="9" fillId="0" fontId="10" numFmtId="0" xfId="0" applyBorder="1" applyFont="1"/>
    <xf borderId="14" fillId="0" fontId="10" numFmtId="171" xfId="0" applyBorder="1" applyFont="1" applyNumberFormat="1"/>
    <xf borderId="9" fillId="0" fontId="10" numFmtId="171" xfId="0" applyBorder="1" applyFont="1" applyNumberFormat="1"/>
    <xf borderId="10" fillId="0" fontId="10" numFmtId="171" xfId="0" applyBorder="1" applyFont="1" applyNumberFormat="1"/>
    <xf borderId="11" fillId="0" fontId="42" numFmtId="0" xfId="0" applyAlignment="1" applyBorder="1" applyFont="1">
      <alignment horizontal="left"/>
    </xf>
    <xf borderId="12" fillId="0" fontId="10" numFmtId="164" xfId="0" applyBorder="1" applyFont="1" applyNumberFormat="1"/>
    <xf borderId="49" fillId="0" fontId="10" numFmtId="164" xfId="0" applyBorder="1" applyFont="1" applyNumberFormat="1"/>
    <xf borderId="13" fillId="0" fontId="10" numFmtId="164" xfId="0" applyBorder="1" applyFont="1" applyNumberFormat="1"/>
    <xf borderId="6" fillId="0" fontId="42" numFmtId="0" xfId="0" applyAlignment="1" applyBorder="1" applyFont="1">
      <alignment horizontal="left"/>
    </xf>
    <xf borderId="50" fillId="0" fontId="10" numFmtId="164" xfId="0" applyBorder="1" applyFont="1" applyNumberFormat="1"/>
    <xf borderId="7" fillId="0" fontId="10" numFmtId="164" xfId="0" applyBorder="1" applyFont="1" applyNumberFormat="1"/>
    <xf borderId="8" fillId="0" fontId="42" numFmtId="0" xfId="0" applyAlignment="1" applyBorder="1" applyFont="1">
      <alignment horizontal="left"/>
    </xf>
    <xf borderId="14" fillId="0" fontId="10" numFmtId="164" xfId="0" applyBorder="1" applyFont="1" applyNumberFormat="1"/>
    <xf borderId="9" fillId="0" fontId="10" numFmtId="164" xfId="0" applyBorder="1" applyFont="1" applyNumberFormat="1"/>
    <xf borderId="10" fillId="0" fontId="10" numFmtId="164" xfId="0" applyBorder="1" applyFont="1" applyNumberFormat="1"/>
    <xf borderId="14" fillId="0" fontId="43" numFmtId="164" xfId="0" applyBorder="1" applyFont="1" applyNumberFormat="1"/>
    <xf borderId="9" fillId="0" fontId="43" numFmtId="0" xfId="0" applyBorder="1" applyFont="1"/>
    <xf borderId="10" fillId="0" fontId="43" numFmtId="0" xfId="0" applyBorder="1" applyFont="1"/>
    <xf borderId="0" fillId="0" fontId="12" numFmtId="0" xfId="0" applyFont="1"/>
    <xf borderId="0" fillId="0" fontId="10" numFmtId="0" xfId="0" applyAlignment="1" applyFont="1">
      <alignment horizontal="right"/>
    </xf>
    <xf borderId="0" fillId="0" fontId="10" numFmtId="3" xfId="0" applyAlignment="1" applyFont="1" applyNumberFormat="1">
      <alignment horizontal="right"/>
    </xf>
    <xf borderId="0" fillId="0" fontId="32" numFmtId="0" xfId="0" applyFont="1"/>
    <xf borderId="0" fillId="0" fontId="34" numFmtId="0" xfId="0" applyFont="1"/>
    <xf borderId="0" fillId="0" fontId="34" numFmtId="0" xfId="0" applyAlignment="1" applyFont="1">
      <alignment horizontal="left"/>
    </xf>
    <xf borderId="0" fillId="0" fontId="44" numFmtId="0" xfId="0" applyAlignment="1" applyFont="1">
      <alignment horizontal="left"/>
    </xf>
    <xf borderId="0" fillId="0" fontId="37" numFmtId="0" xfId="0" applyFont="1"/>
    <xf borderId="0" fillId="0" fontId="9" numFmtId="4" xfId="0" applyFont="1" applyNumberFormat="1"/>
    <xf borderId="0" fillId="0" fontId="45" numFmtId="4" xfId="0" applyFont="1" applyNumberFormat="1"/>
    <xf borderId="0" fillId="0" fontId="28" numFmtId="0" xfId="0" applyFont="1"/>
    <xf borderId="3" fillId="0" fontId="29" numFmtId="0" xfId="0" applyBorder="1" applyFont="1"/>
    <xf borderId="0" fillId="0" fontId="29" numFmtId="0" xfId="0" applyAlignment="1" applyFont="1">
      <alignment horizontal="left"/>
    </xf>
    <xf borderId="0" fillId="0" fontId="46" numFmtId="0" xfId="0" applyAlignment="1" applyFont="1">
      <alignment horizontal="left"/>
    </xf>
    <xf borderId="0" fillId="0" fontId="37" numFmtId="4" xfId="0" applyAlignment="1" applyFont="1" applyNumberFormat="1">
      <alignment horizontal="right"/>
    </xf>
    <xf borderId="4" fillId="18" fontId="9" numFmtId="0" xfId="0" applyBorder="1" applyFill="1" applyFont="1"/>
    <xf borderId="4" fillId="18" fontId="9" numFmtId="4" xfId="0" applyAlignment="1" applyBorder="1" applyFont="1" applyNumberFormat="1">
      <alignment horizontal="right"/>
    </xf>
    <xf borderId="4" fillId="18" fontId="12" numFmtId="4" xfId="0" applyAlignment="1" applyBorder="1" applyFont="1" applyNumberFormat="1">
      <alignment horizontal="right"/>
    </xf>
    <xf borderId="4" fillId="7" fontId="9" numFmtId="0" xfId="0" applyBorder="1" applyFont="1"/>
    <xf borderId="4" fillId="7" fontId="37" numFmtId="0" xfId="0" applyBorder="1" applyFont="1"/>
    <xf borderId="0" fillId="0" fontId="47" numFmtId="0" xfId="0" applyFont="1"/>
    <xf borderId="12" fillId="0" fontId="11" numFmtId="0" xfId="0" applyBorder="1" applyFont="1"/>
    <xf borderId="11" fillId="0" fontId="11" numFmtId="3" xfId="0" applyBorder="1" applyFont="1" applyNumberFormat="1"/>
    <xf borderId="50" fillId="0" fontId="11" numFmtId="0" xfId="0" applyBorder="1" applyFont="1"/>
    <xf borderId="6" fillId="0" fontId="11" numFmtId="3" xfId="0" applyBorder="1" applyFont="1" applyNumberFormat="1"/>
    <xf borderId="2" fillId="0" fontId="11" numFmtId="0" xfId="0" applyBorder="1" applyFont="1"/>
    <xf borderId="1" fillId="0" fontId="12" numFmtId="3" xfId="0" applyBorder="1" applyFont="1" applyNumberFormat="1"/>
    <xf borderId="0" fillId="0" fontId="37" numFmtId="0" xfId="0" applyAlignment="1" applyFont="1">
      <alignment horizontal="center"/>
    </xf>
    <xf borderId="0" fillId="0" fontId="45" numFmtId="0" xfId="0" applyAlignment="1" applyFont="1">
      <alignment horizontal="center"/>
    </xf>
    <xf borderId="0" fillId="0" fontId="45" numFmtId="3" xfId="0" applyFont="1" applyNumberFormat="1"/>
    <xf borderId="4" fillId="9" fontId="48" numFmtId="0" xfId="0" applyBorder="1" applyFont="1"/>
    <xf borderId="0" fillId="0" fontId="49" numFmtId="0" xfId="0" applyFont="1"/>
    <xf borderId="0" fillId="0" fontId="45" numFmtId="0" xfId="0" applyFont="1"/>
    <xf borderId="25" fillId="17" fontId="28" numFmtId="0" xfId="0" applyBorder="1" applyFont="1"/>
    <xf borderId="4" fillId="17" fontId="9" numFmtId="0" xfId="0" applyBorder="1" applyFont="1"/>
    <xf borderId="4" fillId="17" fontId="10" numFmtId="0" xfId="0" applyBorder="1" applyFont="1"/>
    <xf borderId="4" fillId="15" fontId="40" numFmtId="0" xfId="0" applyBorder="1" applyFont="1"/>
    <xf borderId="4" fillId="15" fontId="31" numFmtId="0" xfId="0" applyBorder="1" applyFont="1"/>
    <xf borderId="2" fillId="0" fontId="28" numFmtId="0" xfId="0" applyBorder="1" applyFont="1"/>
    <xf borderId="5" fillId="0" fontId="28" numFmtId="0" xfId="0" applyBorder="1" applyFont="1"/>
    <xf borderId="3" fillId="0" fontId="28" numFmtId="0" xfId="0" applyBorder="1" applyFont="1"/>
    <xf borderId="12" fillId="0" fontId="28" numFmtId="0" xfId="0" applyBorder="1" applyFont="1"/>
    <xf borderId="49" fillId="0" fontId="28" numFmtId="0" xfId="0" applyBorder="1" applyFont="1"/>
    <xf borderId="13" fillId="0" fontId="28" numFmtId="0" xfId="0" applyBorder="1" applyFont="1"/>
    <xf borderId="0" fillId="0" fontId="29" numFmtId="172" xfId="0" applyAlignment="1" applyFont="1" applyNumberFormat="1">
      <alignment horizontal="right"/>
    </xf>
    <xf borderId="50" fillId="0" fontId="29" numFmtId="0" xfId="0" applyBorder="1" applyFont="1"/>
    <xf borderId="0" fillId="0" fontId="29" numFmtId="10" xfId="0" applyAlignment="1" applyFont="1" applyNumberFormat="1">
      <alignment horizontal="right"/>
    </xf>
    <xf borderId="7" fillId="0" fontId="29" numFmtId="10" xfId="0" applyAlignment="1" applyBorder="1" applyFont="1" applyNumberFormat="1">
      <alignment horizontal="right"/>
    </xf>
    <xf borderId="12" fillId="0" fontId="29" numFmtId="0" xfId="0" applyBorder="1" applyFont="1"/>
    <xf borderId="49" fillId="0" fontId="10" numFmtId="0" xfId="0" applyBorder="1" applyFont="1"/>
    <xf borderId="13" fillId="0" fontId="10" numFmtId="0" xfId="0" applyBorder="1" applyFont="1"/>
    <xf borderId="7" fillId="0" fontId="10" numFmtId="0" xfId="0" applyBorder="1" applyFont="1"/>
    <xf borderId="0" fillId="0" fontId="10" numFmtId="169" xfId="0" applyFont="1" applyNumberFormat="1"/>
    <xf borderId="0" fillId="0" fontId="10" numFmtId="173" xfId="0" applyFont="1" applyNumberFormat="1"/>
    <xf borderId="14" fillId="0" fontId="29" numFmtId="0" xfId="0" applyBorder="1" applyFont="1"/>
    <xf borderId="0" fillId="0" fontId="28" numFmtId="172" xfId="0" applyAlignment="1" applyFont="1" applyNumberFormat="1">
      <alignment horizontal="right"/>
    </xf>
    <xf borderId="50" fillId="0" fontId="28" numFmtId="0" xfId="0" applyBorder="1" applyFont="1"/>
    <xf borderId="49" fillId="0" fontId="10" numFmtId="172" xfId="0" applyBorder="1" applyFont="1" applyNumberFormat="1"/>
    <xf borderId="2" fillId="0" fontId="10" numFmtId="0" xfId="0" applyBorder="1" applyFont="1"/>
    <xf borderId="5" fillId="0" fontId="9" numFmtId="172" xfId="0" applyBorder="1" applyFont="1" applyNumberFormat="1"/>
    <xf borderId="2" fillId="0" fontId="9" numFmtId="0" xfId="0" applyBorder="1" applyFont="1"/>
    <xf borderId="9" fillId="0" fontId="10" numFmtId="172" xfId="0" applyBorder="1" applyFont="1" applyNumberFormat="1"/>
    <xf borderId="49" fillId="0" fontId="28" numFmtId="172" xfId="0" applyAlignment="1" applyBorder="1" applyFont="1" applyNumberFormat="1">
      <alignment horizontal="right"/>
    </xf>
    <xf borderId="13" fillId="0" fontId="28" numFmtId="172" xfId="0" applyAlignment="1" applyBorder="1" applyFont="1" applyNumberFormat="1">
      <alignment horizontal="right"/>
    </xf>
    <xf borderId="0" fillId="0" fontId="29" numFmtId="0" xfId="0" applyAlignment="1" applyFont="1">
      <alignment horizontal="right"/>
    </xf>
    <xf borderId="0" fillId="0" fontId="50" numFmtId="0" xfId="0" applyAlignment="1" applyFont="1">
      <alignment horizontal="right"/>
    </xf>
    <xf borderId="4" fillId="19" fontId="24" numFmtId="0" xfId="0" applyBorder="1" applyFill="1" applyFont="1"/>
    <xf borderId="4" fillId="19" fontId="10" numFmtId="0" xfId="0" applyBorder="1" applyFont="1"/>
    <xf borderId="12" fillId="0" fontId="10" numFmtId="0" xfId="0" applyBorder="1" applyFont="1"/>
    <xf borderId="49" fillId="0" fontId="10" numFmtId="169" xfId="0" applyBorder="1" applyFont="1" applyNumberFormat="1"/>
    <xf borderId="13" fillId="0" fontId="10" numFmtId="169" xfId="0" applyBorder="1" applyFont="1" applyNumberFormat="1"/>
    <xf borderId="50" fillId="0" fontId="10" numFmtId="0" xfId="0" applyBorder="1" applyFont="1"/>
    <xf borderId="7" fillId="0" fontId="10" numFmtId="169" xfId="0" applyBorder="1" applyFont="1" applyNumberFormat="1"/>
    <xf borderId="7" fillId="0" fontId="29" numFmtId="0" xfId="0" applyBorder="1" applyFont="1"/>
    <xf borderId="2" fillId="7" fontId="29" numFmtId="0" xfId="0" applyAlignment="1" applyBorder="1" applyFont="1">
      <alignment horizontal="center"/>
    </xf>
    <xf borderId="0" fillId="0" fontId="29" numFmtId="169" xfId="0" applyFont="1" applyNumberFormat="1"/>
    <xf borderId="7" fillId="0" fontId="29" numFmtId="169" xfId="0" applyBorder="1" applyFont="1" applyNumberFormat="1"/>
    <xf borderId="14" fillId="0" fontId="28" numFmtId="0" xfId="0" applyBorder="1" applyFont="1"/>
    <xf borderId="9" fillId="0" fontId="28" numFmtId="169" xfId="0" applyBorder="1" applyFont="1" applyNumberFormat="1"/>
    <xf borderId="10" fillId="0" fontId="28" numFmtId="169" xfId="0" applyBorder="1" applyFont="1" applyNumberFormat="1"/>
    <xf borderId="9" fillId="0" fontId="28" numFmtId="0" xfId="0" applyBorder="1" applyFont="1"/>
    <xf borderId="10" fillId="0" fontId="28" numFmtId="0" xfId="0" applyBorder="1" applyFont="1"/>
    <xf borderId="1" fillId="0" fontId="11" numFmtId="0" xfId="0" applyAlignment="1" applyBorder="1" applyFont="1">
      <alignment horizontal="left" vertical="top"/>
    </xf>
    <xf borderId="1" fillId="0" fontId="11" numFmtId="10" xfId="0" applyAlignment="1" applyBorder="1" applyFont="1" applyNumberFormat="1">
      <alignment horizontal="right"/>
    </xf>
    <xf borderId="0" fillId="0" fontId="29" numFmtId="174" xfId="0" applyFont="1" applyNumberFormat="1"/>
    <xf borderId="1" fillId="7" fontId="29" numFmtId="0" xfId="0" applyBorder="1" applyFont="1"/>
    <xf borderId="1" fillId="0" fontId="29" numFmtId="0" xfId="0" applyAlignment="1" applyBorder="1" applyFont="1">
      <alignment horizontal="right"/>
    </xf>
    <xf borderId="0" fillId="0" fontId="51" numFmtId="0" xfId="0" applyFont="1"/>
    <xf borderId="4" fillId="20" fontId="29" numFmtId="0" xfId="0" applyBorder="1" applyFill="1" applyFont="1"/>
    <xf borderId="4" fillId="11" fontId="29" numFmtId="0" xfId="0" applyAlignment="1" applyBorder="1" applyFont="1">
      <alignment horizontal="right"/>
    </xf>
    <xf borderId="4" fillId="20" fontId="29" numFmtId="49" xfId="0" applyBorder="1" applyFont="1" applyNumberFormat="1"/>
    <xf borderId="0" fillId="0" fontId="29" numFmtId="49" xfId="0" applyFont="1" applyNumberFormat="1"/>
    <xf borderId="4" fillId="11" fontId="29" numFmtId="169" xfId="0" applyAlignment="1" applyBorder="1" applyFont="1" applyNumberFormat="1">
      <alignment horizontal="right"/>
    </xf>
    <xf borderId="1" fillId="0" fontId="52" numFmtId="0" xfId="0" applyBorder="1" applyFont="1"/>
    <xf borderId="50" fillId="0" fontId="10" numFmtId="165" xfId="0" applyBorder="1" applyFont="1" applyNumberFormat="1"/>
    <xf borderId="6" fillId="0" fontId="10" numFmtId="165" xfId="0" applyBorder="1" applyFont="1" applyNumberFormat="1"/>
    <xf borderId="14" fillId="0" fontId="10" numFmtId="165" xfId="0" applyBorder="1" applyFont="1" applyNumberFormat="1"/>
    <xf borderId="8" fillId="0" fontId="10" numFmtId="165" xfId="0" applyBorder="1" applyFont="1" applyNumberFormat="1"/>
    <xf borderId="5" fillId="0" fontId="10" numFmtId="165" xfId="0" applyBorder="1" applyFont="1" applyNumberFormat="1"/>
    <xf borderId="0" fillId="0" fontId="33" numFmtId="0" xfId="0" applyAlignment="1" applyFont="1">
      <alignment horizontal="center"/>
    </xf>
    <xf borderId="0" fillId="0" fontId="34" numFmtId="174" xfId="0" applyAlignment="1" applyFont="1" applyNumberFormat="1">
      <alignment horizontal="left"/>
    </xf>
    <xf borderId="0" fillId="0" fontId="34" numFmtId="10" xfId="0" applyAlignment="1" applyFont="1" applyNumberFormat="1">
      <alignment horizontal="right"/>
    </xf>
    <xf borderId="9" fillId="0" fontId="34" numFmtId="0" xfId="0" applyBorder="1" applyFont="1"/>
    <xf borderId="9" fillId="0" fontId="34" numFmtId="10" xfId="0" applyAlignment="1" applyBorder="1" applyFont="1" applyNumberFormat="1">
      <alignment horizontal="right"/>
    </xf>
    <xf borderId="4" fillId="19" fontId="9" numFmtId="0" xfId="0" applyBorder="1" applyFont="1"/>
    <xf borderId="0" fillId="0" fontId="53" numFmtId="0" xfId="0" applyFont="1"/>
    <xf borderId="0" fillId="0" fontId="54" numFmtId="0" xfId="0" applyAlignment="1" applyFont="1">
      <alignment vertical="top"/>
    </xf>
    <xf borderId="0" fillId="0" fontId="9" numFmtId="0" xfId="0" applyAlignment="1" applyFont="1">
      <alignment vertical="top"/>
    </xf>
    <xf borderId="0" fillId="0" fontId="54" numFmtId="0" xfId="0" applyAlignment="1" applyFont="1">
      <alignment horizontal="center"/>
    </xf>
    <xf borderId="0" fillId="0" fontId="54" numFmtId="0" xfId="0" applyAlignment="1" applyFont="1">
      <alignment horizontal="right"/>
    </xf>
    <xf borderId="0" fillId="0" fontId="28" numFmtId="0" xfId="0" applyAlignment="1" applyFont="1">
      <alignment horizontal="center"/>
    </xf>
    <xf borderId="0" fillId="0" fontId="55" numFmtId="0" xfId="0" applyAlignment="1" applyFont="1">
      <alignment horizontal="center"/>
    </xf>
    <xf borderId="0" fillId="0" fontId="55" numFmtId="3" xfId="0" applyAlignment="1" applyFont="1" applyNumberFormat="1">
      <alignment horizontal="right"/>
    </xf>
    <xf borderId="0" fillId="0" fontId="55" numFmtId="165" xfId="0" applyAlignment="1" applyFont="1" applyNumberFormat="1">
      <alignment horizontal="right"/>
    </xf>
    <xf borderId="2" fillId="7" fontId="56" numFmtId="0" xfId="0" applyAlignment="1" applyBorder="1" applyFont="1">
      <alignment horizontal="center"/>
    </xf>
    <xf borderId="4" fillId="7" fontId="10" numFmtId="0" xfId="0" applyAlignment="1" applyBorder="1" applyFont="1">
      <alignment horizontal="center"/>
    </xf>
    <xf borderId="0" fillId="0" fontId="36" numFmtId="0" xfId="0" applyAlignment="1" applyFont="1">
      <alignment horizontal="center" vertical="top"/>
    </xf>
    <xf borderId="0" fillId="0" fontId="36" numFmtId="0" xfId="0" applyAlignment="1" applyFont="1">
      <alignment horizontal="center"/>
    </xf>
    <xf borderId="14" fillId="0" fontId="10" numFmtId="0" xfId="0" applyBorder="1" applyFont="1"/>
    <xf borderId="10" fillId="0" fontId="10" numFmtId="0" xfId="0" applyBorder="1" applyFont="1"/>
    <xf borderId="5" fillId="0" fontId="9" numFmtId="0" xfId="0" applyBorder="1" applyFont="1"/>
    <xf borderId="5" fillId="0" fontId="10" numFmtId="0" xfId="0" applyBorder="1" applyFont="1"/>
    <xf borderId="1" fillId="0" fontId="57" numFmtId="0" xfId="0" applyBorder="1" applyFont="1"/>
    <xf borderId="9" fillId="0" fontId="9" numFmtId="0" xfId="0" applyBorder="1" applyFont="1"/>
    <xf borderId="10" fillId="0" fontId="34" numFmtId="0" xfId="0" applyBorder="1" applyFont="1"/>
    <xf borderId="0" fillId="0" fontId="9" numFmtId="3" xfId="0" applyAlignment="1" applyFont="1" applyNumberFormat="1">
      <alignment horizontal="right"/>
    </xf>
    <xf borderId="4" fillId="21" fontId="9" numFmtId="4" xfId="0" applyBorder="1" applyFill="1" applyFont="1" applyNumberFormat="1"/>
    <xf borderId="4" fillId="22" fontId="10" numFmtId="3" xfId="0" applyBorder="1" applyFill="1" applyFont="1" applyNumberFormat="1"/>
    <xf borderId="3" fillId="0" fontId="34" numFmtId="0" xfId="0" applyBorder="1" applyFont="1"/>
    <xf borderId="0" fillId="0" fontId="9" numFmtId="4" xfId="0" applyAlignment="1" applyFont="1" applyNumberFormat="1">
      <alignment horizontal="right"/>
    </xf>
    <xf borderId="0" fillId="0" fontId="58" numFmtId="0" xfId="0" applyFont="1"/>
    <xf borderId="4" fillId="21" fontId="9" numFmtId="4" xfId="0" applyAlignment="1" applyBorder="1" applyFont="1" applyNumberFormat="1">
      <alignment horizontal="right"/>
    </xf>
    <xf borderId="0" fillId="0" fontId="12" numFmtId="4" xfId="0" applyAlignment="1" applyFont="1" applyNumberFormat="1">
      <alignment horizontal="right"/>
    </xf>
    <xf borderId="1" fillId="0" fontId="59" numFmtId="0" xfId="0" applyBorder="1" applyFont="1"/>
    <xf borderId="0" fillId="0" fontId="59" numFmtId="0" xfId="0" applyAlignment="1" applyFont="1">
      <alignment horizontal="left"/>
    </xf>
    <xf borderId="0" fillId="0" fontId="58" numFmtId="4" xfId="0" applyFont="1" applyNumberFormat="1"/>
    <xf borderId="11" fillId="0" fontId="45" numFmtId="0" xfId="0" applyBorder="1" applyFont="1"/>
    <xf borderId="2" fillId="0" fontId="58" numFmtId="0" xfId="0" applyAlignment="1" applyBorder="1" applyFont="1">
      <alignment horizontal="center"/>
    </xf>
    <xf borderId="0" fillId="0" fontId="58" numFmtId="0" xfId="0" applyAlignment="1" applyFont="1">
      <alignment horizontal="center"/>
    </xf>
    <xf borderId="8" fillId="0" fontId="45" numFmtId="0" xfId="0" applyBorder="1" applyFont="1"/>
    <xf borderId="14" fillId="0" fontId="45" numFmtId="0" xfId="0" applyBorder="1" applyFont="1"/>
    <xf borderId="9" fillId="0" fontId="45" numFmtId="0" xfId="0" applyBorder="1" applyFont="1"/>
    <xf borderId="10" fillId="0" fontId="45" numFmtId="0" xfId="0" applyBorder="1" applyFont="1"/>
    <xf borderId="6" fillId="0" fontId="59" numFmtId="0" xfId="0" applyBorder="1" applyFont="1"/>
    <xf borderId="6" fillId="0" fontId="45" numFmtId="0" xfId="0" applyBorder="1" applyFont="1"/>
    <xf borderId="0" fillId="0" fontId="45" numFmtId="164" xfId="0" applyFont="1" applyNumberFormat="1"/>
    <xf borderId="50" fillId="0" fontId="45" numFmtId="164" xfId="0" applyBorder="1" applyFont="1" applyNumberFormat="1"/>
    <xf borderId="7" fillId="0" fontId="45" numFmtId="164" xfId="0" applyBorder="1" applyFont="1" applyNumberFormat="1"/>
    <xf borderId="8" fillId="0" fontId="59" numFmtId="0" xfId="0" applyBorder="1" applyFont="1"/>
    <xf borderId="9" fillId="0" fontId="45" numFmtId="164" xfId="0" applyBorder="1" applyFont="1" applyNumberFormat="1"/>
    <xf borderId="14" fillId="0" fontId="45" numFmtId="164" xfId="0" applyBorder="1" applyFont="1" applyNumberFormat="1"/>
    <xf borderId="10" fillId="0" fontId="45" numFmtId="164" xfId="0" applyBorder="1" applyFont="1" applyNumberFormat="1"/>
    <xf borderId="0" fillId="0" fontId="45" numFmtId="175" xfId="0" applyFont="1" applyNumberFormat="1"/>
    <xf borderId="0" fillId="0" fontId="60" numFmtId="0" xfId="0" applyFont="1"/>
    <xf borderId="0" fillId="0" fontId="11" numFmtId="164" xfId="0" applyFont="1" applyNumberFormat="1"/>
    <xf borderId="3" fillId="0" fontId="34" numFmtId="164" xfId="0" applyBorder="1" applyFont="1" applyNumberFormat="1"/>
    <xf borderId="54" fillId="0" fontId="7" numFmtId="0" xfId="0" applyBorder="1" applyFont="1"/>
    <xf borderId="25" fillId="10" fontId="9" numFmtId="0" xfId="0" applyAlignment="1" applyBorder="1" applyFont="1">
      <alignment horizontal="center"/>
    </xf>
    <xf borderId="0" fillId="0" fontId="61" numFmtId="0" xfId="0" applyAlignment="1" applyFont="1">
      <alignment horizontal="center"/>
    </xf>
    <xf borderId="11" fillId="0" fontId="10" numFmtId="0" xfId="0" applyAlignment="1" applyBorder="1" applyFont="1">
      <alignment horizontal="center"/>
    </xf>
    <xf borderId="49" fillId="0" fontId="10" numFmtId="0" xfId="0" applyAlignment="1" applyBorder="1" applyFont="1">
      <alignment horizontal="center"/>
    </xf>
    <xf borderId="13" fillId="0" fontId="10" numFmtId="0" xfId="0" applyAlignment="1" applyBorder="1" applyFont="1">
      <alignment horizontal="center"/>
    </xf>
    <xf borderId="1" fillId="0" fontId="31" numFmtId="4" xfId="0" applyAlignment="1" applyBorder="1" applyFont="1" applyNumberFormat="1">
      <alignment horizontal="right"/>
    </xf>
    <xf borderId="5" fillId="0" fontId="31" numFmtId="4" xfId="0" applyAlignment="1" applyBorder="1" applyFont="1" applyNumberFormat="1">
      <alignment horizontal="right"/>
    </xf>
    <xf borderId="3" fillId="0" fontId="31" numFmtId="4" xfId="0" applyAlignment="1" applyBorder="1" applyFont="1" applyNumberFormat="1">
      <alignment horizontal="right"/>
    </xf>
    <xf borderId="50" fillId="0" fontId="31" numFmtId="0" xfId="0" applyBorder="1" applyFont="1"/>
    <xf borderId="6" fillId="0" fontId="31" numFmtId="4" xfId="0" applyAlignment="1" applyBorder="1" applyFont="1" applyNumberFormat="1">
      <alignment horizontal="right"/>
    </xf>
    <xf borderId="0" fillId="0" fontId="31" numFmtId="4" xfId="0" applyAlignment="1" applyFont="1" applyNumberFormat="1">
      <alignment horizontal="right"/>
    </xf>
    <xf borderId="7" fillId="0" fontId="31" numFmtId="4" xfId="0" applyAlignment="1" applyBorder="1" applyFont="1" applyNumberFormat="1">
      <alignment horizontal="right"/>
    </xf>
    <xf borderId="13" fillId="0" fontId="11" numFmtId="4" xfId="0" applyAlignment="1" applyBorder="1" applyFont="1" applyNumberFormat="1">
      <alignment horizontal="right"/>
    </xf>
    <xf borderId="14" fillId="0" fontId="31" numFmtId="0" xfId="0" applyBorder="1" applyFont="1"/>
    <xf borderId="8" fillId="0" fontId="31" numFmtId="4" xfId="0" applyAlignment="1" applyBorder="1" applyFont="1" applyNumberFormat="1">
      <alignment horizontal="right"/>
    </xf>
    <xf borderId="9" fillId="0" fontId="31" numFmtId="4" xfId="0" applyAlignment="1" applyBorder="1" applyFont="1" applyNumberFormat="1">
      <alignment horizontal="right"/>
    </xf>
    <xf borderId="10" fillId="0" fontId="31" numFmtId="4" xfId="0" applyAlignment="1" applyBorder="1" applyFont="1" applyNumberFormat="1">
      <alignment horizontal="right"/>
    </xf>
    <xf borderId="14" fillId="0" fontId="11" numFmtId="4" xfId="0" applyAlignment="1" applyBorder="1" applyFont="1" applyNumberFormat="1">
      <alignment horizontal="right"/>
    </xf>
    <xf borderId="10" fillId="0" fontId="11" numFmtId="4" xfId="0" applyAlignment="1" applyBorder="1" applyFont="1" applyNumberFormat="1">
      <alignment horizontal="right"/>
    </xf>
    <xf borderId="4" fillId="10" fontId="9" numFmtId="0" xfId="0" applyBorder="1" applyFont="1"/>
    <xf borderId="4" fillId="10" fontId="9" numFmtId="0" xfId="0" applyAlignment="1" applyBorder="1" applyFont="1">
      <alignment horizontal="center"/>
    </xf>
    <xf borderId="0" fillId="0" fontId="62" numFmtId="0" xfId="0" applyFont="1"/>
    <xf borderId="1" fillId="0" fontId="10" numFmtId="2" xfId="0" applyBorder="1" applyFont="1" applyNumberFormat="1"/>
    <xf borderId="3" fillId="0" fontId="10" numFmtId="0" xfId="0" applyAlignment="1" applyBorder="1" applyFont="1">
      <alignment horizontal="right"/>
    </xf>
    <xf borderId="0" fillId="0" fontId="11" numFmtId="0" xfId="0" applyAlignment="1" applyFont="1">
      <alignment horizontal="right"/>
    </xf>
    <xf borderId="10" fillId="0" fontId="10" numFmtId="0" xfId="0" applyAlignment="1" applyBorder="1" applyFont="1">
      <alignment horizontal="right"/>
    </xf>
    <xf borderId="0" fillId="0" fontId="11" numFmtId="4" xfId="0" applyFont="1" applyNumberFormat="1"/>
    <xf borderId="12" fillId="0" fontId="63" numFmtId="0" xfId="0" applyAlignment="1" applyBorder="1" applyFont="1">
      <alignment horizontal="left"/>
    </xf>
    <xf borderId="2" fillId="10" fontId="9" numFmtId="0" xfId="0" applyAlignment="1" applyBorder="1" applyFont="1">
      <alignment horizontal="center"/>
    </xf>
    <xf borderId="50" fillId="0" fontId="7" numFmtId="0" xfId="0" applyBorder="1" applyFont="1"/>
    <xf borderId="12" fillId="0" fontId="11" numFmtId="0" xfId="0" applyAlignment="1" applyBorder="1" applyFont="1">
      <alignment horizontal="center"/>
    </xf>
    <xf borderId="49" fillId="0" fontId="11" numFmtId="0" xfId="0" applyBorder="1" applyFont="1"/>
    <xf borderId="12" fillId="0" fontId="11" numFmtId="0" xfId="0" applyAlignment="1" applyBorder="1" applyFont="1">
      <alignment horizontal="right"/>
    </xf>
    <xf borderId="49" fillId="0" fontId="11" numFmtId="0" xfId="0" applyAlignment="1" applyBorder="1" applyFont="1">
      <alignment horizontal="right"/>
    </xf>
    <xf borderId="13" fillId="0" fontId="11" numFmtId="0" xfId="0" applyAlignment="1" applyBorder="1" applyFont="1">
      <alignment horizontal="right"/>
    </xf>
    <xf borderId="50" fillId="0" fontId="11" numFmtId="0" xfId="0" applyAlignment="1" applyBorder="1" applyFont="1">
      <alignment horizontal="right"/>
    </xf>
    <xf borderId="7" fillId="0" fontId="11" numFmtId="0" xfId="0" applyAlignment="1" applyBorder="1" applyFont="1">
      <alignment horizontal="right"/>
    </xf>
    <xf borderId="14" fillId="0" fontId="11" numFmtId="0" xfId="0" applyBorder="1" applyFont="1"/>
    <xf borderId="9" fillId="0" fontId="11" numFmtId="0" xfId="0" applyBorder="1" applyFont="1"/>
    <xf borderId="14" fillId="0" fontId="11" numFmtId="0" xfId="0" applyAlignment="1" applyBorder="1" applyFont="1">
      <alignment horizontal="right"/>
    </xf>
    <xf borderId="9" fillId="0" fontId="11" numFmtId="0" xfId="0" applyAlignment="1" applyBorder="1" applyFont="1">
      <alignment horizontal="right"/>
    </xf>
    <xf borderId="10" fillId="0" fontId="11" numFmtId="0" xfId="0" applyAlignment="1" applyBorder="1" applyFont="1">
      <alignment horizontal="right"/>
    </xf>
    <xf borderId="1" fillId="23" fontId="10" numFmtId="0" xfId="0" applyBorder="1" applyFill="1" applyFont="1"/>
    <xf borderId="1" fillId="7" fontId="9" numFmtId="0" xfId="0" applyBorder="1" applyFont="1"/>
    <xf borderId="4" fillId="9" fontId="11" numFmtId="0" xfId="0" applyAlignment="1" applyBorder="1" applyFont="1">
      <alignment horizontal="left"/>
    </xf>
    <xf borderId="4" fillId="16" fontId="64" numFmtId="0" xfId="0" applyBorder="1" applyFont="1"/>
    <xf borderId="4" fillId="16" fontId="11" numFmtId="0" xfId="0" applyBorder="1" applyFont="1"/>
    <xf borderId="55" fillId="24" fontId="11" numFmtId="0" xfId="0" applyAlignment="1" applyBorder="1" applyFill="1" applyFont="1">
      <alignment horizontal="center" shrinkToFit="0" vertical="center" wrapText="1"/>
    </xf>
    <xf borderId="11" fillId="0" fontId="11" numFmtId="0" xfId="0" applyBorder="1" applyFont="1"/>
    <xf borderId="56" fillId="17" fontId="11" numFmtId="0" xfId="0" applyBorder="1" applyFont="1"/>
    <xf borderId="56" fillId="10" fontId="11" numFmtId="0" xfId="0" applyBorder="1" applyFont="1"/>
    <xf borderId="57" fillId="10" fontId="11" numFmtId="0" xfId="0" applyBorder="1" applyFont="1"/>
    <xf borderId="58" fillId="0" fontId="7" numFmtId="0" xfId="0" applyBorder="1" applyFont="1"/>
    <xf borderId="59" fillId="0" fontId="7" numFmtId="0" xfId="0" applyBorder="1" applyFont="1"/>
    <xf borderId="9" fillId="0" fontId="34" numFmtId="176" xfId="0" applyAlignment="1" applyBorder="1" applyFont="1" applyNumberFormat="1">
      <alignment horizontal="right"/>
    </xf>
    <xf borderId="9" fillId="0" fontId="34" numFmtId="177" xfId="0" applyAlignment="1" applyBorder="1" applyFont="1" applyNumberFormat="1">
      <alignment horizontal="right"/>
    </xf>
    <xf borderId="50" fillId="0" fontId="29" numFmtId="49" xfId="0" applyBorder="1" applyFont="1" applyNumberFormat="1"/>
    <xf borderId="47" fillId="11" fontId="29" numFmtId="2" xfId="0" applyAlignment="1" applyBorder="1" applyFont="1" applyNumberFormat="1">
      <alignment horizontal="right"/>
    </xf>
    <xf borderId="0" fillId="0" fontId="34" numFmtId="4" xfId="0" applyAlignment="1" applyFont="1" applyNumberFormat="1">
      <alignment horizontal="right"/>
    </xf>
    <xf borderId="7" fillId="0" fontId="34" numFmtId="4" xfId="0" applyAlignment="1" applyBorder="1" applyFont="1" applyNumberFormat="1">
      <alignment horizontal="right"/>
    </xf>
    <xf borderId="51" fillId="11" fontId="29" numFmtId="2" xfId="0" applyAlignment="1" applyBorder="1" applyFont="1" applyNumberFormat="1">
      <alignment horizontal="right"/>
    </xf>
    <xf borderId="9" fillId="0" fontId="34" numFmtId="4" xfId="0" applyAlignment="1" applyBorder="1" applyFont="1" applyNumberFormat="1">
      <alignment horizontal="right"/>
    </xf>
    <xf borderId="10" fillId="0" fontId="34" numFmtId="4" xfId="0" applyAlignment="1" applyBorder="1" applyFont="1" applyNumberFormat="1">
      <alignment horizontal="right"/>
    </xf>
    <xf borderId="0" fillId="0" fontId="65" numFmtId="0" xfId="0" applyFont="1"/>
    <xf borderId="55" fillId="17" fontId="11" numFmtId="0" xfId="0" applyAlignment="1" applyBorder="1" applyFont="1">
      <alignment horizontal="center" shrinkToFit="0" vertical="center" wrapText="1"/>
    </xf>
    <xf borderId="11" fillId="11" fontId="31" numFmtId="2" xfId="0" applyAlignment="1" applyBorder="1" applyFont="1" applyNumberFormat="1">
      <alignment horizontal="right" vertical="bottom"/>
    </xf>
    <xf borderId="6" fillId="11" fontId="31" numFmtId="2" xfId="0" applyAlignment="1" applyBorder="1" applyFont="1" applyNumberFormat="1">
      <alignment horizontal="right" vertical="bottom"/>
    </xf>
    <xf borderId="8" fillId="11" fontId="31" numFmtId="2" xfId="0" applyAlignment="1" applyBorder="1" applyFont="1" applyNumberFormat="1">
      <alignment horizontal="right" vertical="bottom"/>
    </xf>
    <xf borderId="0" fillId="0" fontId="66" numFmtId="0" xfId="0" applyFont="1"/>
    <xf borderId="0" fillId="0" fontId="10" numFmtId="178" xfId="0" applyFont="1" applyNumberFormat="1"/>
    <xf borderId="0" fillId="0" fontId="11" numFmtId="178" xfId="0" applyFont="1" applyNumberFormat="1"/>
    <xf borderId="4" fillId="9" fontId="12" numFmtId="0" xfId="0" applyAlignment="1" applyBorder="1" applyFont="1">
      <alignment horizontal="left"/>
    </xf>
    <xf borderId="4" fillId="10" fontId="10" numFmtId="0" xfId="0" applyBorder="1" applyFont="1"/>
    <xf borderId="60" fillId="0" fontId="9" numFmtId="0" xfId="0" applyAlignment="1" applyBorder="1" applyFont="1">
      <alignment vertical="top"/>
    </xf>
    <xf borderId="61" fillId="7" fontId="9" numFmtId="0" xfId="0" applyAlignment="1" applyBorder="1" applyFont="1">
      <alignment horizontal="center"/>
    </xf>
    <xf borderId="62" fillId="7" fontId="9" numFmtId="0" xfId="0" applyAlignment="1" applyBorder="1" applyFont="1">
      <alignment horizontal="center"/>
    </xf>
    <xf borderId="63" fillId="0" fontId="9" numFmtId="0" xfId="0" applyAlignment="1" applyBorder="1" applyFont="1">
      <alignment horizontal="center"/>
    </xf>
    <xf borderId="63" fillId="0" fontId="9" numFmtId="0" xfId="0" applyBorder="1" applyFont="1"/>
    <xf borderId="64" fillId="0" fontId="9" numFmtId="0" xfId="0" applyAlignment="1" applyBorder="1" applyFont="1">
      <alignment vertical="top"/>
    </xf>
    <xf borderId="65" fillId="25" fontId="10" numFmtId="0" xfId="0" applyAlignment="1" applyBorder="1" applyFill="1" applyFont="1">
      <alignment horizontal="center"/>
    </xf>
    <xf borderId="65" fillId="7" fontId="10" numFmtId="0" xfId="0" applyAlignment="1" applyBorder="1" applyFont="1">
      <alignment horizontal="center"/>
    </xf>
    <xf borderId="66" fillId="7" fontId="10" numFmtId="0" xfId="0" applyAlignment="1" applyBorder="1" applyFont="1">
      <alignment horizontal="center"/>
    </xf>
    <xf borderId="65" fillId="7" fontId="10" numFmtId="0" xfId="0" applyAlignment="1" applyBorder="1" applyFont="1">
      <alignment horizontal="center" shrinkToFit="0" wrapText="1"/>
    </xf>
    <xf borderId="67" fillId="7" fontId="10" numFmtId="0" xfId="0" applyAlignment="1" applyBorder="1" applyFont="1">
      <alignment horizontal="center"/>
    </xf>
    <xf borderId="68" fillId="0" fontId="10" numFmtId="0" xfId="0" applyAlignment="1" applyBorder="1" applyFont="1">
      <alignment vertical="top"/>
    </xf>
    <xf borderId="69" fillId="0" fontId="7" numFmtId="0" xfId="0" applyBorder="1" applyFont="1"/>
    <xf borderId="70" fillId="0" fontId="7" numFmtId="0" xfId="0" applyBorder="1" applyFont="1"/>
    <xf borderId="71" fillId="0" fontId="7" numFmtId="0" xfId="0" applyBorder="1" applyFont="1"/>
    <xf borderId="72" fillId="0" fontId="67" numFmtId="0" xfId="0" applyAlignment="1" applyBorder="1" applyFont="1">
      <alignment vertical="top"/>
    </xf>
    <xf borderId="3" fillId="0" fontId="10" numFmtId="0" xfId="0" applyBorder="1" applyFont="1"/>
    <xf borderId="68" fillId="0" fontId="10" numFmtId="0" xfId="0" applyBorder="1" applyFont="1"/>
    <xf borderId="68" fillId="0" fontId="9" numFmtId="0" xfId="0" applyAlignment="1" applyBorder="1" applyFont="1">
      <alignment horizontal="center"/>
    </xf>
    <xf borderId="73" fillId="0" fontId="68" numFmtId="0" xfId="0" applyAlignment="1" applyBorder="1" applyFont="1">
      <alignment vertical="top"/>
    </xf>
    <xf borderId="74" fillId="0" fontId="7" numFmtId="0" xfId="0" applyBorder="1" applyFont="1"/>
    <xf borderId="72" fillId="0" fontId="10" numFmtId="0" xfId="0" applyAlignment="1" applyBorder="1" applyFont="1">
      <alignment vertical="top"/>
    </xf>
    <xf borderId="64" fillId="0" fontId="10" numFmtId="0" xfId="0" applyAlignment="1" applyBorder="1" applyFont="1">
      <alignment horizontal="center"/>
    </xf>
    <xf borderId="0" fillId="0" fontId="10" numFmtId="179" xfId="0" applyAlignment="1" applyFont="1" applyNumberFormat="1">
      <alignment horizontal="center"/>
    </xf>
    <xf borderId="4" fillId="5" fontId="10" numFmtId="179" xfId="0" applyAlignment="1" applyBorder="1" applyFont="1" applyNumberFormat="1">
      <alignment horizontal="center"/>
    </xf>
    <xf borderId="9" fillId="0" fontId="10" numFmtId="179" xfId="0" applyAlignment="1" applyBorder="1" applyFont="1" applyNumberFormat="1">
      <alignment horizontal="center"/>
    </xf>
    <xf borderId="68" fillId="0" fontId="10" numFmtId="179" xfId="0" applyAlignment="1" applyBorder="1" applyFont="1" applyNumberFormat="1">
      <alignment horizontal="center"/>
    </xf>
    <xf borderId="75" fillId="7" fontId="10" numFmtId="0" xfId="0" applyAlignment="1" applyBorder="1" applyFont="1">
      <alignment horizontal="center"/>
    </xf>
    <xf borderId="76" fillId="7" fontId="10" numFmtId="0" xfId="0" applyAlignment="1" applyBorder="1" applyFont="1">
      <alignment horizontal="center"/>
    </xf>
    <xf borderId="64" fillId="0" fontId="10" numFmtId="0" xfId="0" applyAlignment="1" applyBorder="1" applyFont="1">
      <alignment horizontal="left" vertical="top"/>
    </xf>
    <xf borderId="73" fillId="0" fontId="69" numFmtId="0" xfId="0" applyAlignment="1" applyBorder="1" applyFont="1">
      <alignment horizontal="left" vertical="top"/>
    </xf>
    <xf borderId="13" fillId="0" fontId="10" numFmtId="0" xfId="0" applyAlignment="1" applyBorder="1" applyFont="1">
      <alignment horizontal="center" vertical="center"/>
    </xf>
    <xf borderId="73" fillId="0" fontId="10" numFmtId="0" xfId="0" applyAlignment="1" applyBorder="1" applyFont="1">
      <alignment horizontal="center"/>
    </xf>
    <xf borderId="13" fillId="0" fontId="10" numFmtId="4" xfId="0" applyAlignment="1" applyBorder="1" applyFont="1" applyNumberFormat="1">
      <alignment horizontal="center"/>
    </xf>
    <xf borderId="1" fillId="0" fontId="9" numFmtId="4" xfId="0" applyAlignment="1" applyBorder="1" applyFont="1" applyNumberFormat="1">
      <alignment horizontal="center"/>
    </xf>
    <xf borderId="72" fillId="0" fontId="9" numFmtId="4" xfId="0" applyAlignment="1" applyBorder="1" applyFont="1" applyNumberFormat="1">
      <alignment horizontal="center"/>
    </xf>
    <xf borderId="77" fillId="0" fontId="7" numFmtId="0" xfId="0" applyBorder="1" applyFont="1"/>
    <xf borderId="7" fillId="0" fontId="7" numFmtId="0" xfId="0" applyBorder="1" applyFont="1"/>
    <xf borderId="10" fillId="0" fontId="10" numFmtId="4" xfId="0" applyAlignment="1" applyBorder="1" applyFont="1" applyNumberFormat="1">
      <alignment horizontal="center"/>
    </xf>
    <xf borderId="72" fillId="0" fontId="10" numFmtId="0" xfId="0" applyAlignment="1" applyBorder="1" applyFont="1">
      <alignment horizontal="center"/>
    </xf>
    <xf borderId="73" fillId="0" fontId="10" numFmtId="0" xfId="0" applyAlignment="1" applyBorder="1" applyFont="1">
      <alignment horizontal="center" vertical="center"/>
    </xf>
    <xf borderId="1" fillId="0" fontId="10" numFmtId="4" xfId="0" applyAlignment="1" applyBorder="1" applyFont="1" applyNumberFormat="1">
      <alignment horizontal="center"/>
    </xf>
    <xf borderId="2" fillId="0" fontId="10" numFmtId="4" xfId="0" applyAlignment="1" applyBorder="1" applyFont="1" applyNumberFormat="1">
      <alignment horizontal="center"/>
    </xf>
    <xf borderId="2" fillId="0" fontId="9" numFmtId="4" xfId="0" applyAlignment="1" applyBorder="1" applyFont="1" applyNumberFormat="1">
      <alignment horizontal="center"/>
    </xf>
    <xf borderId="64" fillId="0" fontId="70" numFmtId="0" xfId="0" applyAlignment="1" applyBorder="1" applyFont="1">
      <alignment vertical="top"/>
    </xf>
    <xf borderId="3" fillId="0" fontId="10" numFmtId="0" xfId="0" applyAlignment="1" applyBorder="1" applyFont="1">
      <alignment horizontal="center" vertical="center"/>
    </xf>
    <xf borderId="72" fillId="0" fontId="10" numFmtId="0" xfId="0" applyBorder="1" applyFont="1"/>
    <xf borderId="73" fillId="0" fontId="71" numFmtId="0" xfId="0" applyAlignment="1" applyBorder="1" applyFont="1">
      <alignment vertical="top"/>
    </xf>
    <xf borderId="72" fillId="0" fontId="72" numFmtId="0" xfId="0" applyAlignment="1" applyBorder="1" applyFont="1">
      <alignment vertical="top"/>
    </xf>
    <xf borderId="72" fillId="0" fontId="9" numFmtId="0" xfId="0" applyAlignment="1" applyBorder="1" applyFont="1">
      <alignment horizontal="center"/>
    </xf>
    <xf borderId="64" fillId="0" fontId="10" numFmtId="0" xfId="0" applyAlignment="1" applyBorder="1" applyFont="1">
      <alignment vertical="top"/>
    </xf>
    <xf borderId="64" fillId="0" fontId="10" numFmtId="0" xfId="0" applyBorder="1" applyFont="1"/>
    <xf borderId="0" fillId="0" fontId="10" numFmtId="179" xfId="0" applyFont="1" applyNumberFormat="1"/>
    <xf borderId="64" fillId="0" fontId="10" numFmtId="179" xfId="0" applyBorder="1" applyFont="1" applyNumberFormat="1"/>
    <xf borderId="9" fillId="0" fontId="10" numFmtId="179" xfId="0" applyBorder="1" applyFont="1" applyNumberFormat="1"/>
    <xf borderId="68" fillId="0" fontId="10" numFmtId="179" xfId="0" applyBorder="1" applyFont="1" applyNumberFormat="1"/>
    <xf borderId="78" fillId="5" fontId="10" numFmtId="0" xfId="0" applyBorder="1" applyFont="1"/>
    <xf borderId="4" fillId="5" fontId="10" numFmtId="0" xfId="0" applyBorder="1" applyFont="1"/>
    <xf borderId="4" fillId="5" fontId="10" numFmtId="179" xfId="0" applyBorder="1" applyFont="1" applyNumberFormat="1"/>
    <xf borderId="79" fillId="5" fontId="10" numFmtId="0" xfId="0" applyBorder="1" applyFont="1"/>
    <xf borderId="80" fillId="5" fontId="10" numFmtId="0" xfId="0" applyBorder="1" applyFont="1"/>
    <xf borderId="80" fillId="5" fontId="10" numFmtId="179" xfId="0" applyBorder="1" applyFont="1" applyNumberFormat="1"/>
    <xf borderId="13" fillId="0" fontId="10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left"/>
    </xf>
    <xf borderId="3" fillId="0" fontId="11" numFmtId="179" xfId="0" applyAlignment="1" applyBorder="1" applyFont="1" applyNumberFormat="1">
      <alignment horizontal="center"/>
    </xf>
    <xf borderId="1" fillId="0" fontId="12" numFmtId="179" xfId="0" applyAlignment="1" applyBorder="1" applyFont="1" applyNumberFormat="1">
      <alignment horizontal="center"/>
    </xf>
    <xf borderId="72" fillId="0" fontId="12" numFmtId="179" xfId="0" applyAlignment="1" applyBorder="1" applyFont="1" applyNumberFormat="1">
      <alignment horizontal="center"/>
    </xf>
    <xf borderId="3" fillId="0" fontId="10" numFmtId="179" xfId="0" applyAlignment="1" applyBorder="1" applyFont="1" applyNumberFormat="1">
      <alignment horizontal="center" vertical="center"/>
    </xf>
    <xf borderId="1" fillId="0" fontId="10" numFmtId="179" xfId="0" applyAlignment="1" applyBorder="1" applyFont="1" applyNumberFormat="1">
      <alignment horizontal="center"/>
    </xf>
    <xf borderId="72" fillId="0" fontId="10" numFmtId="179" xfId="0" applyAlignment="1" applyBorder="1" applyFont="1" applyNumberFormat="1">
      <alignment horizontal="center"/>
    </xf>
    <xf borderId="1" fillId="0" fontId="10" numFmtId="0" xfId="0" applyAlignment="1" applyBorder="1" applyFont="1">
      <alignment horizontal="left" vertical="center"/>
    </xf>
    <xf borderId="72" fillId="0" fontId="10" numFmtId="0" xfId="0" applyAlignment="1" applyBorder="1" applyFont="1">
      <alignment horizontal="center" vertical="center"/>
    </xf>
    <xf borderId="72" fillId="0" fontId="10" numFmtId="169" xfId="0" applyAlignment="1" applyBorder="1" applyFont="1" applyNumberFormat="1">
      <alignment horizontal="center"/>
    </xf>
    <xf borderId="1" fillId="9" fontId="11" numFmtId="169" xfId="0" applyAlignment="1" applyBorder="1" applyFont="1" applyNumberFormat="1">
      <alignment horizontal="center"/>
    </xf>
    <xf borderId="72" fillId="9" fontId="11" numFmtId="169" xfId="0" applyAlignment="1" applyBorder="1" applyFont="1" applyNumberFormat="1">
      <alignment horizontal="center"/>
    </xf>
    <xf borderId="3" fillId="0" fontId="10" numFmtId="179" xfId="0" applyAlignment="1" applyBorder="1" applyFont="1" applyNumberFormat="1">
      <alignment horizontal="center"/>
    </xf>
    <xf borderId="1" fillId="0" fontId="9" numFmtId="179" xfId="0" applyAlignment="1" applyBorder="1" applyFont="1" applyNumberFormat="1">
      <alignment horizontal="center"/>
    </xf>
    <xf borderId="2" fillId="0" fontId="9" numFmtId="179" xfId="0" applyAlignment="1" applyBorder="1" applyFont="1" applyNumberFormat="1">
      <alignment horizontal="center"/>
    </xf>
    <xf borderId="81" fillId="0" fontId="7" numFmtId="0" xfId="0" applyBorder="1" applyFont="1"/>
    <xf borderId="46" fillId="22" fontId="10" numFmtId="179" xfId="0" applyAlignment="1" applyBorder="1" applyFont="1" applyNumberFormat="1">
      <alignment horizontal="center"/>
    </xf>
    <xf borderId="1" fillId="22" fontId="9" numFmtId="179" xfId="0" applyAlignment="1" applyBorder="1" applyFont="1" applyNumberFormat="1">
      <alignment horizontal="center"/>
    </xf>
    <xf borderId="72" fillId="22" fontId="9" numFmtId="179" xfId="0" applyAlignment="1" applyBorder="1" applyFont="1" applyNumberFormat="1">
      <alignment horizontal="center"/>
    </xf>
    <xf borderId="64" fillId="0" fontId="9" numFmtId="0" xfId="0" applyBorder="1" applyFont="1"/>
    <xf borderId="0" fillId="0" fontId="9" numFmtId="179" xfId="0" applyFont="1" applyNumberFormat="1"/>
    <xf borderId="64" fillId="0" fontId="9" numFmtId="179" xfId="0" applyBorder="1" applyFont="1" applyNumberFormat="1"/>
    <xf borderId="82" fillId="0" fontId="10" numFmtId="0" xfId="0" applyAlignment="1" applyBorder="1" applyFont="1">
      <alignment vertical="top"/>
    </xf>
    <xf borderId="49" fillId="0" fontId="9" numFmtId="0" xfId="0" applyBorder="1" applyFont="1"/>
    <xf borderId="82" fillId="0" fontId="9" numFmtId="0" xfId="0" applyBorder="1" applyFont="1"/>
    <xf borderId="49" fillId="0" fontId="9" numFmtId="179" xfId="0" applyBorder="1" applyFont="1" applyNumberFormat="1"/>
    <xf borderId="82" fillId="0" fontId="9" numFmtId="179" xfId="0" applyBorder="1" applyFont="1" applyNumberFormat="1"/>
    <xf borderId="3" fillId="0" fontId="11" numFmtId="0" xfId="0" applyAlignment="1" applyBorder="1" applyFont="1">
      <alignment horizontal="center"/>
    </xf>
    <xf borderId="1" fillId="0" fontId="12" numFmtId="0" xfId="0" applyAlignment="1" applyBorder="1" applyFont="1">
      <alignment horizontal="center"/>
    </xf>
    <xf borderId="64" fillId="0" fontId="7" numFmtId="0" xfId="0" applyBorder="1" applyFont="1"/>
    <xf borderId="4" fillId="9" fontId="11" numFmtId="0" xfId="0" applyBorder="1" applyFont="1"/>
    <xf borderId="53" fillId="9" fontId="12" numFmtId="0" xfId="0" applyAlignment="1" applyBorder="1" applyFont="1">
      <alignment horizontal="center"/>
    </xf>
    <xf borderId="1" fillId="9" fontId="12" numFmtId="0" xfId="0" applyAlignment="1" applyBorder="1" applyFont="1">
      <alignment horizontal="center"/>
    </xf>
    <xf borderId="83" fillId="9" fontId="12" numFmtId="0" xfId="0" applyAlignment="1" applyBorder="1" applyFont="1">
      <alignment horizontal="center"/>
    </xf>
    <xf borderId="2" fillId="9" fontId="12" numFmtId="0" xfId="0" applyAlignment="1" applyBorder="1" applyFont="1">
      <alignment horizontal="center"/>
    </xf>
    <xf borderId="3" fillId="0" fontId="10" numFmtId="2" xfId="0" applyAlignment="1" applyBorder="1" applyFont="1" applyNumberFormat="1">
      <alignment horizontal="center"/>
    </xf>
    <xf borderId="1" fillId="0" fontId="9" numFmtId="2" xfId="0" applyAlignment="1" applyBorder="1" applyFont="1" applyNumberFormat="1">
      <alignment horizontal="center"/>
    </xf>
    <xf borderId="72" fillId="0" fontId="9" numFmtId="2" xfId="0" applyAlignment="1" applyBorder="1" applyFont="1" applyNumberFormat="1">
      <alignment horizontal="center"/>
    </xf>
    <xf borderId="2" fillId="0" fontId="9" numFmtId="2" xfId="0" applyAlignment="1" applyBorder="1" applyFont="1" applyNumberFormat="1">
      <alignment horizontal="center"/>
    </xf>
    <xf borderId="81" fillId="0" fontId="9" numFmtId="2" xfId="0" applyAlignment="1" applyBorder="1" applyFont="1" applyNumberFormat="1">
      <alignment horizontal="center"/>
    </xf>
    <xf borderId="0" fillId="0" fontId="12" numFmtId="0" xfId="0" applyAlignment="1" applyFont="1">
      <alignment horizontal="center" vertical="top"/>
    </xf>
    <xf borderId="4" fillId="11" fontId="12" numFmtId="0" xfId="0" applyAlignment="1" applyBorder="1" applyFont="1">
      <alignment horizontal="center" vertical="top"/>
    </xf>
    <xf borderId="0" fillId="0" fontId="9" numFmtId="0" xfId="0" applyAlignment="1" applyFont="1">
      <alignment horizontal="center" vertical="top"/>
    </xf>
    <xf borderId="0" fillId="0" fontId="10" numFmtId="0" xfId="0" applyAlignment="1" applyFont="1">
      <alignment vertical="top"/>
    </xf>
    <xf borderId="0" fillId="0" fontId="73" numFmtId="0" xfId="0" applyFont="1"/>
    <xf borderId="0" fillId="0" fontId="74" numFmtId="0" xfId="0" applyFont="1"/>
    <xf borderId="0" fillId="0" fontId="10" numFmtId="180" xfId="0" applyFont="1" applyNumberFormat="1"/>
    <xf borderId="0" fillId="0" fontId="75" numFmtId="4" xfId="0" applyAlignment="1" applyFont="1" applyNumberFormat="1">
      <alignment horizontal="center"/>
    </xf>
    <xf borderId="4" fillId="26" fontId="10" numFmtId="0" xfId="0" applyBorder="1" applyFill="1" applyFont="1"/>
    <xf borderId="0" fillId="0" fontId="76" numFmtId="3" xfId="0" applyAlignment="1" applyFont="1" applyNumberFormat="1">
      <alignment horizontal="right"/>
    </xf>
    <xf borderId="4" fillId="9" fontId="77" numFmtId="180" xfId="0" applyBorder="1" applyFont="1" applyNumberFormat="1"/>
    <xf borderId="0" fillId="0" fontId="10" numFmtId="9" xfId="0" applyFont="1" applyNumberFormat="1"/>
    <xf borderId="4" fillId="9" fontId="77" numFmtId="181" xfId="0" applyBorder="1" applyFont="1" applyNumberFormat="1"/>
    <xf borderId="4" fillId="9" fontId="77" numFmtId="166" xfId="0" applyBorder="1" applyFont="1" applyNumberFormat="1"/>
    <xf borderId="0" fillId="0" fontId="10" numFmtId="182" xfId="0" applyFont="1" applyNumberFormat="1"/>
    <xf borderId="0" fillId="0" fontId="10" numFmtId="181" xfId="0" applyFont="1" applyNumberFormat="1"/>
    <xf borderId="4" fillId="9" fontId="77" numFmtId="0" xfId="0" applyBorder="1" applyFont="1"/>
    <xf borderId="0" fillId="0" fontId="78" numFmtId="0" xfId="0" applyAlignment="1" applyFont="1">
      <alignment horizontal="right"/>
    </xf>
    <xf borderId="4" fillId="27" fontId="10" numFmtId="0" xfId="0" applyBorder="1" applyFill="1" applyFont="1"/>
    <xf borderId="4" fillId="9" fontId="77" numFmtId="183" xfId="0" applyBorder="1" applyFont="1" applyNumberFormat="1"/>
    <xf borderId="4" fillId="9" fontId="10" numFmtId="0" xfId="0" applyBorder="1" applyFont="1"/>
    <xf borderId="0" fillId="0" fontId="79" numFmtId="0" xfId="0" applyFont="1"/>
  </cellXfs>
  <cellStyles count="1">
    <cellStyle xfId="0" name="Normal" builtinId="0"/>
  </cellStyles>
  <dxfs count="1">
    <dxf>
      <font/>
      <fill>
        <patternFill patternType="solid">
          <fgColor rgb="FFF9CB9C"/>
          <bgColor rgb="FFF9C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rPr b="0" i="0">
                <a:solidFill>
                  <a:srgbClr val="000000"/>
                </a:solidFill>
                <a:latin typeface="Roboto"/>
              </a:rPr>
              <a:t>Muži and Ženy</a:t>
            </a:r>
          </a:p>
        </c:rich>
      </c:tx>
      <c:overlay val="0"/>
    </c:title>
    <c:plotArea>
      <c:layout/>
      <c:lineChart>
        <c:ser>
          <c:idx val="0"/>
          <c:order val="0"/>
          <c:tx>
            <c:v>NÁSTŘEL DAT I S DĚTMI Muži</c:v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'Pomocná data I. Odhady prevalen'!$A$56:$A$71</c:f>
            </c:strRef>
          </c:cat>
          <c:val>
            <c:numRef>
              <c:f>'Pomocná data I. Odhady prevalen'!$B$56:$B$71</c:f>
              <c:numCache/>
            </c:numRef>
          </c:val>
          <c:smooth val="0"/>
        </c:ser>
        <c:ser>
          <c:idx val="1"/>
          <c:order val="1"/>
          <c:tx>
            <c:v>NÁSTŘEL DAT I S DĚTMI Ženy</c:v>
          </c:tx>
          <c:spPr>
            <a:ln cmpd="sng">
              <a:solidFill>
                <a:srgbClr val="DB4437"/>
              </a:solidFill>
            </a:ln>
          </c:spPr>
          <c:marker>
            <c:symbol val="none"/>
          </c:marker>
          <c:cat>
            <c:strRef>
              <c:f>'Pomocná data I. Odhady prevalen'!$A$56:$A$71</c:f>
            </c:strRef>
          </c:cat>
          <c:val>
            <c:numRef>
              <c:f>'Pomocná data I. Odhady prevalen'!$C$56:$C$71</c:f>
              <c:numCache/>
            </c:numRef>
          </c:val>
          <c:smooth val="0"/>
        </c:ser>
        <c:axId val="2095348309"/>
        <c:axId val="548826480"/>
      </c:lineChart>
      <c:catAx>
        <c:axId val="20953483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Věkové kategorie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548826480"/>
      </c:catAx>
      <c:valAx>
        <c:axId val="5488264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209534830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rPr b="0" i="0">
                <a:solidFill>
                  <a:srgbClr val="000000"/>
                </a:solidFill>
                <a:latin typeface="Roboto"/>
              </a:rPr>
              <a:t>Muži a Ženy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PĚTILETÉ VĚKOVÉ SKUPINY  Muži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cat>
            <c:strRef>
              <c:f>'Pomocná data I. Odhady prevalen'!$H$3:$H$17</c:f>
            </c:strRef>
          </c:cat>
          <c:val>
            <c:numRef>
              <c:f>'Pomocná data I. Odhady prevalen'!$I$3:$I$17</c:f>
              <c:numCache/>
            </c:numRef>
          </c:val>
        </c:ser>
        <c:ser>
          <c:idx val="1"/>
          <c:order val="1"/>
          <c:tx>
            <c:v>PĚTILETÉ VĚKOVÉ SKUPINY  Ženy</c:v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cat>
            <c:strRef>
              <c:f>'Pomocná data I. Odhady prevalen'!$H$3:$H$17</c:f>
            </c:strRef>
          </c:cat>
          <c:val>
            <c:numRef>
              <c:f>'Pomocná data I. Odhady prevalen'!$J$3:$J$17</c:f>
              <c:numCache/>
            </c:numRef>
          </c:val>
        </c:ser>
        <c:axId val="933342323"/>
        <c:axId val="2083425941"/>
      </c:barChart>
      <c:catAx>
        <c:axId val="9333423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0" i="0">
                    <a:solidFill>
                      <a:srgbClr val="000000"/>
                    </a:solidFill>
                    <a:latin typeface="Roboto"/>
                  </a:rPr>
                  <a:t>Věkové kategorie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2083425941"/>
      </c:catAx>
      <c:valAx>
        <c:axId val="20834259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93334232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Věková struktura obyvatel ČR dle pohlaví (ČSÚ, 2022)</a:t>
            </a:r>
          </a:p>
        </c:rich>
      </c:tx>
      <c:overlay val="0"/>
    </c:title>
    <c:plotArea>
      <c:layout/>
      <c:lineChart>
        <c:ser>
          <c:idx val="0"/>
          <c:order val="0"/>
          <c:tx>
            <c:v>Muži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'Pomocná data I. Odhady prevalen'!$I$117:$I$133</c:f>
            </c:strRef>
          </c:cat>
          <c:val>
            <c:numRef>
              <c:f>'Pomocná data I. Odhady prevalen'!$J$117:$J$133</c:f>
              <c:numCache/>
            </c:numRef>
          </c:val>
          <c:smooth val="0"/>
        </c:ser>
        <c:ser>
          <c:idx val="1"/>
          <c:order val="1"/>
          <c:tx>
            <c:v>Ženy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'Pomocná data I. Odhady prevalen'!$I$117:$I$133</c:f>
            </c:strRef>
          </c:cat>
          <c:val>
            <c:numRef>
              <c:f>'Pomocná data I. Odhady prevalen'!$K$117:$K$133</c:f>
              <c:numCache/>
            </c:numRef>
          </c:val>
          <c:smooth val="0"/>
        </c:ser>
        <c:axId val="276678753"/>
        <c:axId val="185316803"/>
      </c:lineChart>
      <c:catAx>
        <c:axId val="2766787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5316803"/>
      </c:catAx>
      <c:valAx>
        <c:axId val="1853168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76678753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Vývoj prevalence dle desetiletých kategorií (EHIS)</a:t>
            </a:r>
          </a:p>
        </c:rich>
      </c:tx>
      <c:overlay val="0"/>
    </c:title>
    <c:plotArea>
      <c:layout/>
      <c:lineChart>
        <c:ser>
          <c:idx val="0"/>
          <c:order val="0"/>
          <c:tx>
            <c:v>Muži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'Pomocná data I. Odhady prevalen'!$K$25:$K$31</c:f>
            </c:strRef>
          </c:cat>
          <c:val>
            <c:numRef>
              <c:f>'Pomocná data I. Odhady prevalen'!$L$25:$L$31</c:f>
              <c:numCache/>
            </c:numRef>
          </c:val>
          <c:smooth val="0"/>
        </c:ser>
        <c:ser>
          <c:idx val="1"/>
          <c:order val="1"/>
          <c:tx>
            <c:v>Ženy</c:v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'Pomocná data I. Odhady prevalen'!$K$25:$K$31</c:f>
            </c:strRef>
          </c:cat>
          <c:val>
            <c:numRef>
              <c:f>'Pomocná data I. Odhady prevalen'!$M$25:$M$31</c:f>
              <c:numCache/>
            </c:numRef>
          </c:val>
          <c:smooth val="0"/>
        </c:ser>
        <c:axId val="417187159"/>
        <c:axId val="554270597"/>
      </c:lineChart>
      <c:catAx>
        <c:axId val="417187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54270597"/>
      </c:catAx>
      <c:valAx>
        <c:axId val="5542705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17187159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200025</xdr:colOff>
      <xdr:row>55</xdr:row>
      <xdr:rowOff>190500</xdr:rowOff>
    </xdr:from>
    <xdr:ext cx="4581525" cy="28289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10</xdr:col>
      <xdr:colOff>857250</xdr:colOff>
      <xdr:row>0</xdr:row>
      <xdr:rowOff>104775</xdr:rowOff>
    </xdr:from>
    <xdr:ext cx="5715000" cy="3533775"/>
    <xdr:graphicFrame>
      <xdr:nvGraphicFramePr>
        <xdr:cNvPr id="2" name="Chart 2" title="Graf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12</xdr:col>
      <xdr:colOff>561975</xdr:colOff>
      <xdr:row>112</xdr:row>
      <xdr:rowOff>38100</xdr:rowOff>
    </xdr:from>
    <xdr:ext cx="5372100" cy="4162425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13</xdr:col>
      <xdr:colOff>190500</xdr:colOff>
      <xdr:row>23</xdr:row>
      <xdr:rowOff>9525</xdr:rowOff>
    </xdr:from>
    <xdr:ext cx="4114800" cy="2943225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jlpc5utdVA3zo0wKXKQF_cfoOg_U8tA2jlqGgj--R6U/edit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ncbi.nlm.nih.gov/pubmed/18188080" TargetMode="External"/><Relationship Id="rId2" Type="http://schemas.openxmlformats.org/officeDocument/2006/relationships/hyperlink" Target="https://www.ncbi.nlm.nih.gov/pubmed/20061888" TargetMode="External"/><Relationship Id="rId3" Type="http://schemas.openxmlformats.org/officeDocument/2006/relationships/hyperlink" Target="https://pdfs.semanticscholar.org/4a62/94d8b24423103075cc5b2d591c3fbe71d5c8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media.vzpstatic.cz/media/Default/rocenky/rocenka_vzp_2018.xlsx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citeseerx.ist.psu.edu/viewdoc/download?doi=10.1.1.312.4705&amp;rep=rep1&amp;type=pdf" TargetMode="External"/><Relationship Id="rId2" Type="http://schemas.openxmlformats.org/officeDocument/2006/relationships/hyperlink" Target="https://docs.google.com/spreadsheets/d/1zNBZgXnAhoBmea7Q_aMWeE-4n4pXd_Bx2bcPtyQxjn4/edit" TargetMode="External"/><Relationship Id="rId3" Type="http://schemas.openxmlformats.org/officeDocument/2006/relationships/hyperlink" Target="https://www.czso.cz/csu/czso/umrtnostni_tabulky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1.xml"/><Relationship Id="rId3" Type="http://schemas.openxmlformats.org/officeDocument/2006/relationships/vmlDrawing" Target="../drawings/vmlDrawing1.v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promenyceskespolecnosti.cz/aktuality/aktualita22/Jak_Cesi_travi_cas_TK_20-06-2016.pdf" TargetMode="External"/><Relationship Id="rId2" Type="http://schemas.openxmlformats.org/officeDocument/2006/relationships/hyperlink" Target="https://www.ispv.cz/cz/Vysledky-setreni/Archiv/2018.aspx" TargetMode="External"/><Relationship Id="rId3" Type="http://schemas.openxmlformats.org/officeDocument/2006/relationships/hyperlink" Target="https://appsso.eurostat.ec.europa.eu/nui/show.do?dataset=lfsi_emp_a&amp;lang=en" TargetMode="External"/><Relationship Id="rId4" Type="http://schemas.openxmlformats.org/officeDocument/2006/relationships/hyperlink" Target="https://docs.google.com/spreadsheets/d/1zNBZgXnAhoBmea7Q_aMWeE-4n4pXd_Bx2bcPtyQxjn4/edit" TargetMode="External"/><Relationship Id="rId5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://sci-hub.tw/10.2147/DMSO.S83696" TargetMode="External"/><Relationship Id="rId3" Type="http://schemas.openxmlformats.org/officeDocument/2006/relationships/hyperlink" Target="http://sci-hub.tw/10.1097/JOM.0b013e3181f274d2" TargetMode="External"/><Relationship Id="rId4" Type="http://schemas.openxmlformats.org/officeDocument/2006/relationships/hyperlink" Target="https://pdfs.semanticscholar.org/4a62/94d8b24423103075cc5b2d591c3fbe71d5c8.pdf" TargetMode="External"/><Relationship Id="rId5" Type="http://schemas.openxmlformats.org/officeDocument/2006/relationships/drawing" Target="../drawings/drawing17.xml"/><Relationship Id="rId6" Type="http://schemas.openxmlformats.org/officeDocument/2006/relationships/vmlDrawing" Target="../drawings/vmlDrawing2.vml"/></Relationships>
</file>

<file path=xl/worksheets/_rels/sheet18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ncbi.nlm.nih.gov/pubmed/9545015" TargetMode="External"/><Relationship Id="rId20" Type="http://schemas.openxmlformats.org/officeDocument/2006/relationships/hyperlink" Target="http://sci-hub.tw/https:/doi.org/10.1097/JOM.0000000000000065" TargetMode="External"/><Relationship Id="rId42" Type="http://schemas.openxmlformats.org/officeDocument/2006/relationships/hyperlink" Target="http://sci-hub.tw/https:/doi.org/10.1111/j.1467-789X.2007.00440.x" TargetMode="External"/><Relationship Id="rId41" Type="http://schemas.openxmlformats.org/officeDocument/2006/relationships/hyperlink" Target="http://sci-hub.tw/https:/doi.org/10.1111/j.1467-789X.2009.00712.x" TargetMode="External"/><Relationship Id="rId22" Type="http://schemas.openxmlformats.org/officeDocument/2006/relationships/hyperlink" Target="http://sci-hub.tw/https:/doi.org/10.1007/s10198-014-0562-z" TargetMode="External"/><Relationship Id="rId21" Type="http://schemas.openxmlformats.org/officeDocument/2006/relationships/hyperlink" Target="https://www.ncbi.nlm.nih.gov/pmc/articles/PMC4705131/pdf/10198_2014_Article_655.pdf" TargetMode="External"/><Relationship Id="rId43" Type="http://schemas.openxmlformats.org/officeDocument/2006/relationships/drawing" Target="../drawings/drawing18.xml"/><Relationship Id="rId24" Type="http://schemas.openxmlformats.org/officeDocument/2006/relationships/hyperlink" Target="http://sci-hub.tw/https:/doi.org/10.1186/1472-6963-14-146" TargetMode="External"/><Relationship Id="rId23" Type="http://schemas.openxmlformats.org/officeDocument/2006/relationships/hyperlink" Target="http://sci-hub.tw/https:/link.springer.com/article/10.1007/BF03261865" TargetMode="External"/><Relationship Id="rId1" Type="http://schemas.openxmlformats.org/officeDocument/2006/relationships/hyperlink" Target="http://sci-hub.tw/http:/dx.doi.org/10.1136/bmjopen-2016-014632" TargetMode="External"/><Relationship Id="rId2" Type="http://schemas.openxmlformats.org/officeDocument/2006/relationships/hyperlink" Target="http://sci-hub.tw/https:/doi.org/10.3390/ijerph14040435" TargetMode="External"/><Relationship Id="rId3" Type="http://schemas.openxmlformats.org/officeDocument/2006/relationships/hyperlink" Target="http://sci-hub.tw/https:/doi.org/10.1016/j.pop.2015.08.013" TargetMode="External"/><Relationship Id="rId4" Type="http://schemas.openxmlformats.org/officeDocument/2006/relationships/hyperlink" Target="https://pdfs.semanticscholar.org/9c90/f933c93bb4e3c56b6710b8a279c17031a1e3.pdf" TargetMode="External"/><Relationship Id="rId9" Type="http://schemas.openxmlformats.org/officeDocument/2006/relationships/hyperlink" Target="http://sci-hub.tw/https:/doi.org/10.1097/JOM.0000000000000298" TargetMode="External"/><Relationship Id="rId26" Type="http://schemas.openxmlformats.org/officeDocument/2006/relationships/hyperlink" Target="http://sci-hub.tw/https:/doi.org/10.1371/journal.pone.0068785" TargetMode="External"/><Relationship Id="rId25" Type="http://schemas.openxmlformats.org/officeDocument/2006/relationships/hyperlink" Target="http://sci-hub.tw/https:/doi.org/10.1017/S1368980013000086" TargetMode="External"/><Relationship Id="rId28" Type="http://schemas.openxmlformats.org/officeDocument/2006/relationships/hyperlink" Target="http://sci-hub.tw/https:/doi.org/10.1377/hlthaff.2015.0633" TargetMode="External"/><Relationship Id="rId27" Type="http://schemas.openxmlformats.org/officeDocument/2006/relationships/hyperlink" Target="http://sci-hub.tw/https:/doi.org/10.3111/13696998.2015.1058805" TargetMode="External"/><Relationship Id="rId5" Type="http://schemas.openxmlformats.org/officeDocument/2006/relationships/hyperlink" Target="http://sci-hub.tw/https:/doi.org/10.1016/S0828-282X(09)70098-4" TargetMode="External"/><Relationship Id="rId6" Type="http://schemas.openxmlformats.org/officeDocument/2006/relationships/hyperlink" Target="http://citeseerx.ist.psu.edu/viewdoc/download?doi=10.1.1.629.2896&amp;rep=rep1&amp;type=pdf" TargetMode="External"/><Relationship Id="rId29" Type="http://schemas.openxmlformats.org/officeDocument/2006/relationships/hyperlink" Target="http://sci-hub.tw/https:/doi.org/10.1097/MLR.0000000000000154" TargetMode="External"/><Relationship Id="rId7" Type="http://schemas.openxmlformats.org/officeDocument/2006/relationships/hyperlink" Target="http://sci-hub.tw/https:/doi.org/10.1186/1472-6963-12-238" TargetMode="External"/><Relationship Id="rId8" Type="http://schemas.openxmlformats.org/officeDocument/2006/relationships/hyperlink" Target="http://sci-hub.tw/https:/doi.org/10.1016/j.puhe.2014.11.003" TargetMode="External"/><Relationship Id="rId31" Type="http://schemas.openxmlformats.org/officeDocument/2006/relationships/hyperlink" Target="https://www.ncbi.nlm.nih.gov/pubmed/8589779" TargetMode="External"/><Relationship Id="rId30" Type="http://schemas.openxmlformats.org/officeDocument/2006/relationships/hyperlink" Target="http://sci-hub.tw/10.5694/j.1326-5377.2010.tb03503.x" TargetMode="External"/><Relationship Id="rId11" Type="http://schemas.openxmlformats.org/officeDocument/2006/relationships/hyperlink" Target="http://sci-hub.tw/https:/doi.org/10.1016/j.jhealeco.2011.10.003" TargetMode="External"/><Relationship Id="rId33" Type="http://schemas.openxmlformats.org/officeDocument/2006/relationships/hyperlink" Target="https://www.ncbi.nlm.nih.gov/pubmed/10081464" TargetMode="External"/><Relationship Id="rId10" Type="http://schemas.openxmlformats.org/officeDocument/2006/relationships/hyperlink" Target="http://sci-hub.tw/https:/doi.org/10.1186/1471-2458-12-440" TargetMode="External"/><Relationship Id="rId32" Type="http://schemas.openxmlformats.org/officeDocument/2006/relationships/hyperlink" Target="http://sci-hub.tw/http:/dx.doi.org/10.1136/bmjopen-2014-006189" TargetMode="External"/><Relationship Id="rId13" Type="http://schemas.openxmlformats.org/officeDocument/2006/relationships/hyperlink" Target="https://www.esr.ie/article/view/48" TargetMode="External"/><Relationship Id="rId35" Type="http://schemas.openxmlformats.org/officeDocument/2006/relationships/hyperlink" Target="https://www.ncbi.nlm.nih.gov/pubmed/19413707" TargetMode="External"/><Relationship Id="rId12" Type="http://schemas.openxmlformats.org/officeDocument/2006/relationships/hyperlink" Target="http://sci-hub.tw/https:/doi.org/10.1371/journal.pone.0121160" TargetMode="External"/><Relationship Id="rId34" Type="http://schemas.openxmlformats.org/officeDocument/2006/relationships/hyperlink" Target="https://www.ncbi.nlm.nih.gov/pubmed/15001807" TargetMode="External"/><Relationship Id="rId15" Type="http://schemas.openxmlformats.org/officeDocument/2006/relationships/hyperlink" Target="http://sci-hub.tw/https:/doi.org/10.3346/jkms.2011.26.12.1533" TargetMode="External"/><Relationship Id="rId37" Type="http://schemas.openxmlformats.org/officeDocument/2006/relationships/hyperlink" Target="https://www.ncbi.nlm.nih.gov/pubmed/9347407" TargetMode="External"/><Relationship Id="rId14" Type="http://schemas.openxmlformats.org/officeDocument/2006/relationships/hyperlink" Target="http://sci-hub.tw/https:/doi.org/10.1007/s10198-015-0751-4" TargetMode="External"/><Relationship Id="rId36" Type="http://schemas.openxmlformats.org/officeDocument/2006/relationships/hyperlink" Target="https://link.springer.com/article/10.1007/s10198-003-0178-1" TargetMode="External"/><Relationship Id="rId17" Type="http://schemas.openxmlformats.org/officeDocument/2006/relationships/hyperlink" Target="http://sci-hub.tw/https:/doi.org/10.1093/ageing/afu120" TargetMode="External"/><Relationship Id="rId39" Type="http://schemas.openxmlformats.org/officeDocument/2006/relationships/hyperlink" Target="https://www.ncbi.nlm.nih.gov/pubmed/10593542" TargetMode="External"/><Relationship Id="rId16" Type="http://schemas.openxmlformats.org/officeDocument/2006/relationships/hyperlink" Target="http://sci-hub.tw/https:/doi.org/10.1007/s10198-010-0242-6" TargetMode="External"/><Relationship Id="rId38" Type="http://schemas.openxmlformats.org/officeDocument/2006/relationships/hyperlink" Target="https://www.ncbi.nlm.nih.gov/pubmed/15900961" TargetMode="External"/><Relationship Id="rId19" Type="http://schemas.openxmlformats.org/officeDocument/2006/relationships/hyperlink" Target="http://sci-hub.tw/https:/doi.org/10.1007/s10198-014-0645-x" TargetMode="External"/><Relationship Id="rId18" Type="http://schemas.openxmlformats.org/officeDocument/2006/relationships/hyperlink" Target="http://sci-hub.tw/https:/doi.org/10.17269/cjph.106.4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75"/>
  <cols>
    <col customWidth="1" min="1" max="1" width="31.5"/>
    <col customWidth="1" min="2" max="2" width="100.88"/>
  </cols>
  <sheetData>
    <row r="1">
      <c r="A1" s="1" t="s">
        <v>0</v>
      </c>
      <c r="B1" s="2"/>
    </row>
    <row r="2">
      <c r="A2" s="3" t="s">
        <v>1</v>
      </c>
      <c r="B2" s="2"/>
    </row>
    <row r="3">
      <c r="A3" s="2" t="s">
        <v>2</v>
      </c>
      <c r="B3" s="2" t="s">
        <v>3</v>
      </c>
    </row>
    <row r="4">
      <c r="A4" s="1"/>
      <c r="B4" s="2"/>
    </row>
    <row r="5">
      <c r="A5" s="1"/>
      <c r="B5" s="2"/>
    </row>
    <row r="6">
      <c r="A6" s="1" t="s">
        <v>4</v>
      </c>
      <c r="B6" s="2"/>
    </row>
    <row r="7">
      <c r="A7" s="4" t="s">
        <v>5</v>
      </c>
      <c r="B7" s="4" t="s">
        <v>6</v>
      </c>
    </row>
    <row r="8" ht="17.25" customHeight="1">
      <c r="A8" s="5" t="s">
        <v>7</v>
      </c>
    </row>
    <row r="9">
      <c r="A9" s="6" t="s">
        <v>8</v>
      </c>
      <c r="B9" s="7" t="s">
        <v>9</v>
      </c>
    </row>
    <row r="10" ht="17.25" customHeight="1">
      <c r="A10" s="6" t="s">
        <v>10</v>
      </c>
      <c r="B10" s="8"/>
    </row>
    <row r="11">
      <c r="A11" s="9" t="s">
        <v>11</v>
      </c>
      <c r="B11" s="10"/>
    </row>
    <row r="12">
      <c r="A12" s="6" t="s">
        <v>12</v>
      </c>
      <c r="B12" s="7" t="s">
        <v>13</v>
      </c>
    </row>
    <row r="13">
      <c r="A13" s="6" t="s">
        <v>14</v>
      </c>
      <c r="B13" s="7" t="s">
        <v>15</v>
      </c>
    </row>
    <row r="14">
      <c r="A14" s="6" t="s">
        <v>16</v>
      </c>
      <c r="B14" s="7" t="s">
        <v>17</v>
      </c>
    </row>
    <row r="15">
      <c r="A15" s="6" t="s">
        <v>18</v>
      </c>
      <c r="B15" s="7" t="s">
        <v>19</v>
      </c>
    </row>
    <row r="16">
      <c r="A16" s="6" t="s">
        <v>20</v>
      </c>
      <c r="B16" s="7" t="s">
        <v>21</v>
      </c>
    </row>
    <row r="17">
      <c r="A17" s="6" t="s">
        <v>22</v>
      </c>
      <c r="B17" s="7" t="s">
        <v>23</v>
      </c>
    </row>
    <row r="18">
      <c r="A18" s="6" t="s">
        <v>24</v>
      </c>
      <c r="B18" s="7" t="s">
        <v>25</v>
      </c>
    </row>
    <row r="19">
      <c r="A19" s="9" t="s">
        <v>26</v>
      </c>
      <c r="B19" s="10"/>
    </row>
    <row r="20">
      <c r="A20" s="6" t="s">
        <v>27</v>
      </c>
      <c r="B20" s="7" t="s">
        <v>28</v>
      </c>
    </row>
    <row r="21">
      <c r="A21" s="6" t="s">
        <v>29</v>
      </c>
      <c r="B21" s="7" t="s">
        <v>30</v>
      </c>
    </row>
    <row r="22">
      <c r="A22" s="6" t="s">
        <v>31</v>
      </c>
      <c r="B22" s="7" t="s">
        <v>32</v>
      </c>
    </row>
    <row r="23">
      <c r="A23" s="6" t="s">
        <v>33</v>
      </c>
      <c r="B23" s="7" t="s">
        <v>34</v>
      </c>
    </row>
    <row r="24">
      <c r="A24" s="6" t="s">
        <v>35</v>
      </c>
      <c r="B24" s="7" t="s">
        <v>36</v>
      </c>
    </row>
    <row r="25">
      <c r="A25" s="6" t="s">
        <v>37</v>
      </c>
      <c r="B25" s="7" t="s">
        <v>38</v>
      </c>
    </row>
    <row r="26">
      <c r="A26" s="6" t="s">
        <v>39</v>
      </c>
      <c r="B26" s="7" t="s">
        <v>40</v>
      </c>
    </row>
    <row r="27">
      <c r="A27" s="6" t="s">
        <v>41</v>
      </c>
      <c r="B27" s="7" t="s">
        <v>42</v>
      </c>
    </row>
    <row r="28">
      <c r="A28" s="11"/>
      <c r="B28" s="11"/>
    </row>
    <row r="29">
      <c r="A29" s="11"/>
      <c r="B29" s="11"/>
    </row>
    <row r="30">
      <c r="A30" s="11"/>
      <c r="B30" s="11"/>
    </row>
    <row r="31">
      <c r="A31" s="11"/>
      <c r="B31" s="11"/>
    </row>
    <row r="32">
      <c r="A32" s="11"/>
      <c r="B32" s="11"/>
    </row>
    <row r="33">
      <c r="A33" s="11"/>
      <c r="B33" s="11"/>
    </row>
    <row r="34">
      <c r="A34" s="11"/>
      <c r="B34" s="11"/>
    </row>
    <row r="35">
      <c r="A35" s="11"/>
      <c r="B35" s="11"/>
    </row>
    <row r="36">
      <c r="A36" s="11"/>
      <c r="B36" s="11"/>
    </row>
    <row r="37">
      <c r="A37" s="11"/>
      <c r="B37" s="11"/>
    </row>
    <row r="38">
      <c r="A38" s="11"/>
      <c r="B38" s="11"/>
    </row>
    <row r="39">
      <c r="A39" s="11"/>
      <c r="B39" s="11"/>
    </row>
    <row r="40">
      <c r="A40" s="11"/>
      <c r="B40" s="11"/>
    </row>
    <row r="41">
      <c r="A41" s="11"/>
      <c r="B41" s="11"/>
    </row>
    <row r="42">
      <c r="A42" s="11"/>
      <c r="B42" s="11"/>
    </row>
    <row r="43">
      <c r="A43" s="11"/>
      <c r="B43" s="11"/>
    </row>
    <row r="44">
      <c r="A44" s="11"/>
      <c r="B44" s="11"/>
    </row>
    <row r="45">
      <c r="A45" s="11"/>
      <c r="B45" s="11"/>
    </row>
    <row r="46">
      <c r="A46" s="11"/>
      <c r="B46" s="11"/>
    </row>
    <row r="47">
      <c r="A47" s="11"/>
      <c r="B47" s="11"/>
    </row>
    <row r="48">
      <c r="A48" s="11"/>
      <c r="B48" s="11"/>
    </row>
    <row r="49">
      <c r="A49" s="11"/>
      <c r="B49" s="11"/>
    </row>
    <row r="50">
      <c r="A50" s="11"/>
      <c r="B50" s="11"/>
    </row>
    <row r="51">
      <c r="A51" s="11"/>
      <c r="B51" s="11"/>
    </row>
    <row r="52">
      <c r="A52" s="11"/>
      <c r="B52" s="11"/>
    </row>
    <row r="53">
      <c r="A53" s="11"/>
      <c r="B53" s="11"/>
    </row>
    <row r="54">
      <c r="A54" s="11"/>
      <c r="B54" s="11"/>
    </row>
    <row r="55">
      <c r="A55" s="11"/>
      <c r="B55" s="11"/>
    </row>
    <row r="56">
      <c r="A56" s="11"/>
      <c r="B56" s="11"/>
    </row>
    <row r="57">
      <c r="A57" s="11"/>
      <c r="B57" s="11"/>
    </row>
    <row r="58">
      <c r="A58" s="11"/>
      <c r="B58" s="11"/>
    </row>
    <row r="59">
      <c r="A59" s="11"/>
      <c r="B59" s="11"/>
    </row>
    <row r="60">
      <c r="A60" s="11"/>
      <c r="B60" s="11"/>
    </row>
    <row r="61">
      <c r="A61" s="11"/>
      <c r="B61" s="11"/>
    </row>
    <row r="62">
      <c r="A62" s="11"/>
      <c r="B62" s="11"/>
    </row>
    <row r="63">
      <c r="A63" s="11"/>
      <c r="B63" s="11"/>
    </row>
    <row r="64">
      <c r="A64" s="11"/>
      <c r="B64" s="11"/>
    </row>
    <row r="65">
      <c r="A65" s="11"/>
      <c r="B65" s="11"/>
    </row>
    <row r="66">
      <c r="A66" s="11"/>
      <c r="B66" s="11"/>
    </row>
    <row r="67">
      <c r="A67" s="11"/>
      <c r="B67" s="11"/>
    </row>
    <row r="68">
      <c r="A68" s="11"/>
      <c r="B68" s="11"/>
    </row>
    <row r="69">
      <c r="A69" s="11"/>
      <c r="B69" s="11"/>
    </row>
    <row r="70">
      <c r="A70" s="11"/>
      <c r="B70" s="11"/>
    </row>
    <row r="71">
      <c r="A71" s="11"/>
      <c r="B71" s="11"/>
    </row>
    <row r="72">
      <c r="A72" s="11"/>
      <c r="B72" s="11"/>
    </row>
    <row r="73">
      <c r="A73" s="11"/>
      <c r="B73" s="11"/>
    </row>
    <row r="74">
      <c r="A74" s="11"/>
      <c r="B74" s="11"/>
    </row>
    <row r="75">
      <c r="A75" s="11"/>
      <c r="B75" s="11"/>
    </row>
    <row r="76">
      <c r="A76" s="11"/>
      <c r="B76" s="11"/>
    </row>
    <row r="77">
      <c r="A77" s="11"/>
      <c r="B77" s="11"/>
    </row>
    <row r="78">
      <c r="A78" s="11"/>
      <c r="B78" s="11"/>
    </row>
    <row r="79">
      <c r="A79" s="11"/>
      <c r="B79" s="11"/>
    </row>
    <row r="80">
      <c r="A80" s="11"/>
      <c r="B80" s="11"/>
    </row>
    <row r="81">
      <c r="A81" s="11"/>
      <c r="B81" s="11"/>
    </row>
    <row r="82">
      <c r="A82" s="11"/>
      <c r="B82" s="11"/>
    </row>
    <row r="83">
      <c r="A83" s="11"/>
      <c r="B83" s="11"/>
    </row>
    <row r="84">
      <c r="A84" s="11"/>
      <c r="B84" s="11"/>
    </row>
    <row r="85">
      <c r="A85" s="11"/>
      <c r="B85" s="11"/>
    </row>
    <row r="86">
      <c r="A86" s="11"/>
      <c r="B86" s="11"/>
    </row>
    <row r="87">
      <c r="A87" s="11"/>
      <c r="B87" s="11"/>
    </row>
    <row r="88">
      <c r="A88" s="11"/>
      <c r="B88" s="11"/>
    </row>
    <row r="89">
      <c r="A89" s="11"/>
      <c r="B89" s="11"/>
    </row>
    <row r="90">
      <c r="A90" s="11"/>
      <c r="B90" s="11"/>
    </row>
    <row r="91">
      <c r="A91" s="11"/>
      <c r="B91" s="11"/>
    </row>
    <row r="92">
      <c r="A92" s="11"/>
      <c r="B92" s="11"/>
    </row>
    <row r="93">
      <c r="A93" s="11"/>
      <c r="B93" s="11"/>
    </row>
    <row r="94">
      <c r="A94" s="11"/>
      <c r="B94" s="11"/>
    </row>
    <row r="95">
      <c r="A95" s="11"/>
      <c r="B95" s="11"/>
    </row>
    <row r="96">
      <c r="A96" s="11"/>
      <c r="B96" s="11"/>
    </row>
    <row r="97">
      <c r="A97" s="11"/>
      <c r="B97" s="11"/>
    </row>
    <row r="98">
      <c r="A98" s="11"/>
      <c r="B98" s="11"/>
    </row>
    <row r="99">
      <c r="A99" s="11"/>
      <c r="B99" s="11"/>
    </row>
    <row r="100">
      <c r="A100" s="11"/>
      <c r="B100" s="11"/>
    </row>
    <row r="101">
      <c r="A101" s="11"/>
      <c r="B101" s="11"/>
    </row>
    <row r="102">
      <c r="A102" s="11"/>
      <c r="B102" s="11"/>
    </row>
    <row r="103">
      <c r="A103" s="11"/>
      <c r="B103" s="11"/>
    </row>
    <row r="104">
      <c r="A104" s="11"/>
      <c r="B104" s="11"/>
    </row>
    <row r="105">
      <c r="A105" s="11"/>
      <c r="B105" s="11"/>
    </row>
    <row r="106">
      <c r="A106" s="11"/>
      <c r="B106" s="11"/>
    </row>
    <row r="107">
      <c r="A107" s="11"/>
      <c r="B107" s="11"/>
    </row>
    <row r="108">
      <c r="A108" s="11"/>
      <c r="B108" s="11"/>
    </row>
    <row r="109">
      <c r="A109" s="11"/>
      <c r="B109" s="11"/>
    </row>
    <row r="110">
      <c r="A110" s="11"/>
      <c r="B110" s="11"/>
    </row>
    <row r="111">
      <c r="A111" s="11"/>
      <c r="B111" s="11"/>
    </row>
    <row r="112">
      <c r="A112" s="11"/>
      <c r="B112" s="11"/>
    </row>
    <row r="113">
      <c r="A113" s="11"/>
      <c r="B113" s="11"/>
    </row>
    <row r="114">
      <c r="A114" s="11"/>
      <c r="B114" s="11"/>
    </row>
    <row r="115">
      <c r="A115" s="11"/>
      <c r="B115" s="11"/>
    </row>
    <row r="116">
      <c r="A116" s="11"/>
      <c r="B116" s="11"/>
    </row>
    <row r="117">
      <c r="A117" s="11"/>
      <c r="B117" s="11"/>
    </row>
    <row r="118">
      <c r="A118" s="11"/>
      <c r="B118" s="11"/>
    </row>
    <row r="119">
      <c r="A119" s="11"/>
      <c r="B119" s="11"/>
    </row>
    <row r="120">
      <c r="A120" s="11"/>
      <c r="B120" s="11"/>
    </row>
    <row r="121">
      <c r="A121" s="11"/>
      <c r="B121" s="11"/>
    </row>
    <row r="122">
      <c r="A122" s="11"/>
      <c r="B122" s="11"/>
    </row>
    <row r="123">
      <c r="A123" s="11"/>
      <c r="B123" s="11"/>
    </row>
    <row r="124">
      <c r="A124" s="11"/>
      <c r="B124" s="11"/>
    </row>
    <row r="125">
      <c r="A125" s="11"/>
      <c r="B125" s="11"/>
    </row>
    <row r="126">
      <c r="A126" s="11"/>
      <c r="B126" s="11"/>
    </row>
    <row r="127">
      <c r="A127" s="11"/>
      <c r="B127" s="11"/>
    </row>
    <row r="128">
      <c r="A128" s="11"/>
      <c r="B128" s="11"/>
    </row>
    <row r="129">
      <c r="A129" s="11"/>
      <c r="B129" s="11"/>
    </row>
    <row r="130">
      <c r="A130" s="11"/>
      <c r="B130" s="11"/>
    </row>
    <row r="131">
      <c r="A131" s="11"/>
      <c r="B131" s="11"/>
    </row>
    <row r="132">
      <c r="A132" s="11"/>
      <c r="B132" s="11"/>
    </row>
    <row r="133">
      <c r="A133" s="11"/>
      <c r="B133" s="11"/>
    </row>
    <row r="134">
      <c r="A134" s="11"/>
      <c r="B134" s="11"/>
    </row>
    <row r="135">
      <c r="A135" s="11"/>
      <c r="B135" s="11"/>
    </row>
    <row r="136">
      <c r="A136" s="11"/>
      <c r="B136" s="11"/>
    </row>
    <row r="137">
      <c r="A137" s="11"/>
      <c r="B137" s="11"/>
    </row>
    <row r="138">
      <c r="A138" s="11"/>
      <c r="B138" s="11"/>
    </row>
    <row r="139">
      <c r="A139" s="11"/>
      <c r="B139" s="11"/>
    </row>
    <row r="140">
      <c r="A140" s="11"/>
      <c r="B140" s="11"/>
    </row>
    <row r="141">
      <c r="A141" s="11"/>
      <c r="B141" s="11"/>
    </row>
    <row r="142">
      <c r="A142" s="11"/>
      <c r="B142" s="11"/>
    </row>
    <row r="143">
      <c r="A143" s="11"/>
      <c r="B143" s="11"/>
    </row>
    <row r="144">
      <c r="A144" s="11"/>
      <c r="B144" s="11"/>
    </row>
    <row r="145">
      <c r="A145" s="11"/>
      <c r="B145" s="11"/>
    </row>
    <row r="146">
      <c r="A146" s="11"/>
      <c r="B146" s="11"/>
    </row>
    <row r="147">
      <c r="A147" s="11"/>
      <c r="B147" s="11"/>
    </row>
    <row r="148">
      <c r="A148" s="11"/>
      <c r="B148" s="11"/>
    </row>
    <row r="149">
      <c r="A149" s="11"/>
      <c r="B149" s="11"/>
    </row>
    <row r="150">
      <c r="A150" s="11"/>
      <c r="B150" s="11"/>
    </row>
    <row r="151">
      <c r="A151" s="11"/>
      <c r="B151" s="11"/>
    </row>
    <row r="152">
      <c r="A152" s="11"/>
      <c r="B152" s="11"/>
    </row>
    <row r="153">
      <c r="A153" s="11"/>
      <c r="B153" s="11"/>
    </row>
    <row r="154">
      <c r="A154" s="11"/>
      <c r="B154" s="11"/>
    </row>
    <row r="155">
      <c r="A155" s="11"/>
      <c r="B155" s="11"/>
    </row>
    <row r="156">
      <c r="A156" s="11"/>
      <c r="B156" s="11"/>
    </row>
    <row r="157">
      <c r="A157" s="11"/>
      <c r="B157" s="11"/>
    </row>
    <row r="158">
      <c r="A158" s="11"/>
      <c r="B158" s="11"/>
    </row>
    <row r="159">
      <c r="A159" s="11"/>
      <c r="B159" s="11"/>
    </row>
    <row r="160">
      <c r="A160" s="11"/>
      <c r="B160" s="11"/>
    </row>
    <row r="161">
      <c r="A161" s="11"/>
      <c r="B161" s="11"/>
    </row>
    <row r="162">
      <c r="A162" s="11"/>
      <c r="B162" s="11"/>
    </row>
    <row r="163">
      <c r="A163" s="11"/>
      <c r="B163" s="11"/>
    </row>
    <row r="164">
      <c r="A164" s="11"/>
      <c r="B164" s="11"/>
    </row>
    <row r="165">
      <c r="A165" s="11"/>
      <c r="B165" s="11"/>
    </row>
    <row r="166">
      <c r="A166" s="11"/>
      <c r="B166" s="11"/>
    </row>
    <row r="167">
      <c r="A167" s="11"/>
      <c r="B167" s="11"/>
    </row>
    <row r="168">
      <c r="A168" s="11"/>
      <c r="B168" s="11"/>
    </row>
    <row r="169">
      <c r="A169" s="11"/>
      <c r="B169" s="11"/>
    </row>
    <row r="170">
      <c r="A170" s="11"/>
      <c r="B170" s="11"/>
    </row>
    <row r="171">
      <c r="A171" s="11"/>
      <c r="B171" s="11"/>
    </row>
    <row r="172">
      <c r="A172" s="11"/>
      <c r="B172" s="11"/>
    </row>
    <row r="173">
      <c r="A173" s="11"/>
      <c r="B173" s="11"/>
    </row>
    <row r="174">
      <c r="A174" s="11"/>
      <c r="B174" s="11"/>
    </row>
    <row r="175">
      <c r="A175" s="11"/>
      <c r="B175" s="11"/>
    </row>
    <row r="176">
      <c r="A176" s="11"/>
      <c r="B176" s="11"/>
    </row>
    <row r="177">
      <c r="A177" s="11"/>
      <c r="B177" s="11"/>
    </row>
    <row r="178">
      <c r="A178" s="11"/>
      <c r="B178" s="11"/>
    </row>
    <row r="179">
      <c r="A179" s="11"/>
      <c r="B179" s="11"/>
    </row>
    <row r="180">
      <c r="A180" s="11"/>
      <c r="B180" s="11"/>
    </row>
    <row r="181">
      <c r="A181" s="11"/>
      <c r="B181" s="11"/>
    </row>
    <row r="182">
      <c r="A182" s="11"/>
      <c r="B182" s="11"/>
    </row>
    <row r="183">
      <c r="A183" s="11"/>
      <c r="B183" s="11"/>
    </row>
    <row r="184">
      <c r="A184" s="11"/>
      <c r="B184" s="11"/>
    </row>
    <row r="185">
      <c r="A185" s="11"/>
      <c r="B185" s="11"/>
    </row>
    <row r="186">
      <c r="A186" s="11"/>
      <c r="B186" s="11"/>
    </row>
    <row r="187">
      <c r="A187" s="11"/>
      <c r="B187" s="11"/>
    </row>
    <row r="188">
      <c r="A188" s="11"/>
      <c r="B188" s="11"/>
    </row>
    <row r="189">
      <c r="A189" s="11"/>
      <c r="B189" s="11"/>
    </row>
    <row r="190">
      <c r="A190" s="11"/>
      <c r="B190" s="11"/>
    </row>
    <row r="191">
      <c r="A191" s="11"/>
      <c r="B191" s="11"/>
    </row>
    <row r="192">
      <c r="A192" s="11"/>
      <c r="B192" s="11"/>
    </row>
    <row r="193">
      <c r="A193" s="11"/>
      <c r="B193" s="11"/>
    </row>
    <row r="194">
      <c r="A194" s="11"/>
      <c r="B194" s="11"/>
    </row>
    <row r="195">
      <c r="A195" s="11"/>
      <c r="B195" s="11"/>
    </row>
    <row r="196">
      <c r="A196" s="11"/>
      <c r="B196" s="11"/>
    </row>
    <row r="197">
      <c r="A197" s="11"/>
      <c r="B197" s="11"/>
    </row>
    <row r="198">
      <c r="A198" s="11"/>
      <c r="B198" s="11"/>
    </row>
    <row r="199">
      <c r="A199" s="11"/>
      <c r="B199" s="11"/>
    </row>
    <row r="200">
      <c r="A200" s="11"/>
      <c r="B200" s="11"/>
    </row>
    <row r="201">
      <c r="A201" s="11"/>
      <c r="B201" s="11"/>
    </row>
    <row r="202">
      <c r="A202" s="11"/>
      <c r="B202" s="11"/>
    </row>
    <row r="203">
      <c r="A203" s="11"/>
      <c r="B203" s="11"/>
    </row>
    <row r="204">
      <c r="A204" s="11"/>
      <c r="B204" s="11"/>
    </row>
    <row r="205">
      <c r="A205" s="11"/>
      <c r="B205" s="11"/>
    </row>
    <row r="206">
      <c r="A206" s="11"/>
      <c r="B206" s="11"/>
    </row>
    <row r="207">
      <c r="A207" s="11"/>
      <c r="B207" s="11"/>
    </row>
    <row r="208">
      <c r="A208" s="11"/>
      <c r="B208" s="11"/>
    </row>
    <row r="209">
      <c r="A209" s="11"/>
      <c r="B209" s="11"/>
    </row>
    <row r="210">
      <c r="A210" s="11"/>
      <c r="B210" s="11"/>
    </row>
    <row r="211">
      <c r="A211" s="11"/>
      <c r="B211" s="11"/>
    </row>
    <row r="212">
      <c r="A212" s="11"/>
      <c r="B212" s="11"/>
    </row>
    <row r="213">
      <c r="A213" s="11"/>
      <c r="B213" s="11"/>
    </row>
    <row r="214">
      <c r="A214" s="11"/>
      <c r="B214" s="11"/>
    </row>
    <row r="215">
      <c r="A215" s="11"/>
      <c r="B215" s="11"/>
    </row>
    <row r="216">
      <c r="A216" s="11"/>
      <c r="B216" s="11"/>
    </row>
    <row r="217">
      <c r="A217" s="11"/>
      <c r="B217" s="11"/>
    </row>
    <row r="218">
      <c r="A218" s="11"/>
      <c r="B218" s="11"/>
    </row>
    <row r="219">
      <c r="A219" s="11"/>
      <c r="B219" s="11"/>
    </row>
    <row r="220">
      <c r="A220" s="11"/>
      <c r="B220" s="11"/>
    </row>
    <row r="221">
      <c r="A221" s="11"/>
      <c r="B221" s="11"/>
    </row>
    <row r="222">
      <c r="A222" s="11"/>
      <c r="B222" s="11"/>
    </row>
    <row r="223">
      <c r="A223" s="11"/>
      <c r="B223" s="11"/>
    </row>
    <row r="224">
      <c r="A224" s="11"/>
      <c r="B224" s="11"/>
    </row>
    <row r="225">
      <c r="A225" s="11"/>
      <c r="B225" s="11"/>
    </row>
    <row r="226">
      <c r="A226" s="11"/>
      <c r="B226" s="11"/>
    </row>
    <row r="227">
      <c r="A227" s="11"/>
      <c r="B227" s="11"/>
    </row>
    <row r="228">
      <c r="A228" s="11"/>
      <c r="B228" s="11"/>
    </row>
    <row r="229">
      <c r="A229" s="11"/>
      <c r="B229" s="11"/>
    </row>
    <row r="230">
      <c r="A230" s="11"/>
      <c r="B230" s="11"/>
    </row>
    <row r="231">
      <c r="A231" s="11"/>
      <c r="B231" s="11"/>
    </row>
    <row r="232">
      <c r="A232" s="11"/>
      <c r="B232" s="11"/>
    </row>
    <row r="233">
      <c r="A233" s="11"/>
      <c r="B233" s="11"/>
    </row>
    <row r="234">
      <c r="A234" s="11"/>
      <c r="B234" s="11"/>
    </row>
    <row r="235">
      <c r="A235" s="11"/>
      <c r="B235" s="11"/>
    </row>
    <row r="236">
      <c r="A236" s="11"/>
      <c r="B236" s="11"/>
    </row>
    <row r="237">
      <c r="A237" s="11"/>
      <c r="B237" s="11"/>
    </row>
    <row r="238">
      <c r="A238" s="11"/>
      <c r="B238" s="11"/>
    </row>
    <row r="239">
      <c r="A239" s="11"/>
      <c r="B239" s="11"/>
    </row>
    <row r="240">
      <c r="A240" s="11"/>
      <c r="B240" s="11"/>
    </row>
    <row r="241">
      <c r="A241" s="11"/>
      <c r="B241" s="11"/>
    </row>
    <row r="242">
      <c r="A242" s="11"/>
      <c r="B242" s="11"/>
    </row>
    <row r="243">
      <c r="A243" s="11"/>
      <c r="B243" s="11"/>
    </row>
    <row r="244">
      <c r="A244" s="11"/>
      <c r="B244" s="11"/>
    </row>
    <row r="245">
      <c r="A245" s="11"/>
      <c r="B245" s="11"/>
    </row>
    <row r="246">
      <c r="A246" s="11"/>
      <c r="B246" s="11"/>
    </row>
    <row r="247">
      <c r="A247" s="11"/>
      <c r="B247" s="11"/>
    </row>
    <row r="248">
      <c r="A248" s="11"/>
      <c r="B248" s="11"/>
    </row>
    <row r="249">
      <c r="A249" s="11"/>
      <c r="B249" s="11"/>
    </row>
    <row r="250">
      <c r="A250" s="11"/>
      <c r="B250" s="11"/>
    </row>
    <row r="251">
      <c r="A251" s="11"/>
      <c r="B251" s="11"/>
    </row>
    <row r="252">
      <c r="A252" s="11"/>
      <c r="B252" s="11"/>
    </row>
    <row r="253">
      <c r="A253" s="11"/>
      <c r="B253" s="11"/>
    </row>
    <row r="254">
      <c r="A254" s="11"/>
      <c r="B254" s="11"/>
    </row>
    <row r="255">
      <c r="A255" s="11"/>
      <c r="B255" s="11"/>
    </row>
    <row r="256">
      <c r="A256" s="11"/>
      <c r="B256" s="11"/>
    </row>
    <row r="257">
      <c r="A257" s="11"/>
      <c r="B257" s="11"/>
    </row>
    <row r="258">
      <c r="A258" s="11"/>
      <c r="B258" s="11"/>
    </row>
    <row r="259">
      <c r="A259" s="11"/>
      <c r="B259" s="11"/>
    </row>
    <row r="260">
      <c r="A260" s="11"/>
      <c r="B260" s="11"/>
    </row>
    <row r="261">
      <c r="A261" s="11"/>
      <c r="B261" s="11"/>
    </row>
    <row r="262">
      <c r="A262" s="11"/>
      <c r="B262" s="11"/>
    </row>
    <row r="263">
      <c r="A263" s="11"/>
      <c r="B263" s="11"/>
    </row>
    <row r="264">
      <c r="A264" s="11"/>
      <c r="B264" s="11"/>
    </row>
    <row r="265">
      <c r="A265" s="11"/>
      <c r="B265" s="11"/>
    </row>
    <row r="266">
      <c r="A266" s="11"/>
      <c r="B266" s="11"/>
    </row>
    <row r="267">
      <c r="A267" s="11"/>
      <c r="B267" s="11"/>
    </row>
    <row r="268">
      <c r="A268" s="11"/>
      <c r="B268" s="11"/>
    </row>
    <row r="269">
      <c r="A269" s="11"/>
      <c r="B269" s="11"/>
    </row>
    <row r="270">
      <c r="A270" s="11"/>
      <c r="B270" s="11"/>
    </row>
    <row r="271">
      <c r="A271" s="11"/>
      <c r="B271" s="11"/>
    </row>
    <row r="272">
      <c r="A272" s="11"/>
      <c r="B272" s="11"/>
    </row>
    <row r="273">
      <c r="A273" s="11"/>
      <c r="B273" s="11"/>
    </row>
    <row r="274">
      <c r="A274" s="11"/>
      <c r="B274" s="11"/>
    </row>
    <row r="275">
      <c r="A275" s="11"/>
      <c r="B275" s="11"/>
    </row>
    <row r="276">
      <c r="A276" s="11"/>
      <c r="B276" s="11"/>
    </row>
    <row r="277">
      <c r="A277" s="11"/>
      <c r="B277" s="11"/>
    </row>
    <row r="278">
      <c r="A278" s="11"/>
      <c r="B278" s="11"/>
    </row>
    <row r="279">
      <c r="A279" s="11"/>
      <c r="B279" s="11"/>
    </row>
    <row r="280">
      <c r="A280" s="11"/>
      <c r="B280" s="11"/>
    </row>
    <row r="281">
      <c r="A281" s="11"/>
      <c r="B281" s="11"/>
    </row>
    <row r="282">
      <c r="A282" s="11"/>
      <c r="B282" s="11"/>
    </row>
    <row r="283">
      <c r="A283" s="11"/>
      <c r="B283" s="11"/>
    </row>
    <row r="284">
      <c r="A284" s="11"/>
      <c r="B284" s="11"/>
    </row>
    <row r="285">
      <c r="A285" s="11"/>
      <c r="B285" s="11"/>
    </row>
    <row r="286">
      <c r="A286" s="11"/>
      <c r="B286" s="11"/>
    </row>
    <row r="287">
      <c r="A287" s="11"/>
      <c r="B287" s="11"/>
    </row>
    <row r="288">
      <c r="A288" s="11"/>
      <c r="B288" s="11"/>
    </row>
    <row r="289">
      <c r="A289" s="11"/>
      <c r="B289" s="11"/>
    </row>
    <row r="290">
      <c r="A290" s="11"/>
      <c r="B290" s="11"/>
    </row>
    <row r="291">
      <c r="A291" s="11"/>
      <c r="B291" s="11"/>
    </row>
    <row r="292">
      <c r="A292" s="11"/>
      <c r="B292" s="11"/>
    </row>
    <row r="293">
      <c r="A293" s="11"/>
      <c r="B293" s="11"/>
    </row>
    <row r="294">
      <c r="A294" s="11"/>
      <c r="B294" s="11"/>
    </row>
    <row r="295">
      <c r="A295" s="11"/>
      <c r="B295" s="11"/>
    </row>
    <row r="296">
      <c r="A296" s="11"/>
      <c r="B296" s="11"/>
    </row>
    <row r="297">
      <c r="A297" s="11"/>
      <c r="B297" s="11"/>
    </row>
    <row r="298">
      <c r="A298" s="11"/>
      <c r="B298" s="11"/>
    </row>
    <row r="299">
      <c r="A299" s="11"/>
      <c r="B299" s="11"/>
    </row>
    <row r="300">
      <c r="A300" s="11"/>
      <c r="B300" s="11"/>
    </row>
    <row r="301">
      <c r="A301" s="11"/>
      <c r="B301" s="11"/>
    </row>
    <row r="302">
      <c r="A302" s="11"/>
      <c r="B302" s="11"/>
    </row>
    <row r="303">
      <c r="A303" s="11"/>
      <c r="B303" s="11"/>
    </row>
    <row r="304">
      <c r="A304" s="11"/>
      <c r="B304" s="11"/>
    </row>
    <row r="305">
      <c r="A305" s="11"/>
      <c r="B305" s="11"/>
    </row>
    <row r="306">
      <c r="A306" s="11"/>
      <c r="B306" s="11"/>
    </row>
    <row r="307">
      <c r="A307" s="11"/>
      <c r="B307" s="11"/>
    </row>
    <row r="308">
      <c r="A308" s="11"/>
      <c r="B308" s="11"/>
    </row>
    <row r="309">
      <c r="A309" s="11"/>
      <c r="B309" s="11"/>
    </row>
    <row r="310">
      <c r="A310" s="11"/>
      <c r="B310" s="11"/>
    </row>
    <row r="311">
      <c r="A311" s="11"/>
      <c r="B311" s="11"/>
    </row>
    <row r="312">
      <c r="A312" s="11"/>
      <c r="B312" s="11"/>
    </row>
    <row r="313">
      <c r="A313" s="11"/>
      <c r="B313" s="11"/>
    </row>
    <row r="314">
      <c r="A314" s="11"/>
      <c r="B314" s="11"/>
    </row>
    <row r="315">
      <c r="A315" s="11"/>
      <c r="B315" s="11"/>
    </row>
    <row r="316">
      <c r="A316" s="11"/>
      <c r="B316" s="11"/>
    </row>
    <row r="317">
      <c r="A317" s="11"/>
      <c r="B317" s="11"/>
    </row>
    <row r="318">
      <c r="A318" s="11"/>
      <c r="B318" s="11"/>
    </row>
    <row r="319">
      <c r="A319" s="11"/>
      <c r="B319" s="11"/>
    </row>
    <row r="320">
      <c r="A320" s="11"/>
      <c r="B320" s="11"/>
    </row>
    <row r="321">
      <c r="A321" s="11"/>
      <c r="B321" s="11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>
      <c r="A322" s="11"/>
      <c r="B322" s="11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>
      <c r="A323" s="11"/>
      <c r="B323" s="11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>
      <c r="A324" s="11"/>
      <c r="B324" s="11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>
      <c r="A325" s="11"/>
      <c r="B325" s="11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>
      <c r="A326" s="11"/>
      <c r="B326" s="11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>
      <c r="A327" s="11"/>
      <c r="B327" s="11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>
      <c r="A328" s="11"/>
      <c r="B328" s="11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>
      <c r="A329" s="11"/>
      <c r="B329" s="11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>
      <c r="A330" s="11"/>
      <c r="B330" s="11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>
      <c r="A331" s="11"/>
      <c r="B331" s="11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>
      <c r="A332" s="11"/>
      <c r="B332" s="11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>
      <c r="A333" s="11"/>
      <c r="B333" s="11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>
      <c r="A334" s="11"/>
      <c r="B334" s="11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>
      <c r="A335" s="11"/>
      <c r="B335" s="11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>
      <c r="A336" s="11"/>
      <c r="B336" s="11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>
      <c r="A337" s="11"/>
      <c r="B337" s="11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>
      <c r="A338" s="11"/>
      <c r="B338" s="11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>
      <c r="A339" s="11"/>
      <c r="B339" s="11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>
      <c r="A340" s="11"/>
      <c r="B340" s="11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>
      <c r="A341" s="11"/>
      <c r="B341" s="11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>
      <c r="A342" s="11"/>
      <c r="B342" s="11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>
      <c r="A343" s="11"/>
      <c r="B343" s="11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>
      <c r="A344" s="11"/>
      <c r="B344" s="11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>
      <c r="A345" s="11"/>
      <c r="B345" s="11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>
      <c r="A346" s="11"/>
      <c r="B346" s="11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>
      <c r="A347" s="11"/>
      <c r="B347" s="11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>
      <c r="A348" s="11"/>
      <c r="B348" s="11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>
      <c r="A349" s="11"/>
      <c r="B349" s="11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>
      <c r="A350" s="11"/>
      <c r="B350" s="11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>
      <c r="A351" s="11"/>
      <c r="B351" s="11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>
      <c r="A352" s="11"/>
      <c r="B352" s="11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>
      <c r="A353" s="11"/>
      <c r="B353" s="11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>
      <c r="A354" s="11"/>
      <c r="B354" s="11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>
      <c r="A355" s="11"/>
      <c r="B355" s="11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>
      <c r="A356" s="11"/>
      <c r="B356" s="11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>
      <c r="A357" s="11"/>
      <c r="B357" s="11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>
      <c r="A358" s="11"/>
      <c r="B358" s="11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>
      <c r="A359" s="11"/>
      <c r="B359" s="11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>
      <c r="A360" s="11"/>
      <c r="B360" s="11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>
      <c r="A361" s="11"/>
      <c r="B361" s="11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>
      <c r="A362" s="11"/>
      <c r="B362" s="11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>
      <c r="A363" s="11"/>
      <c r="B363" s="11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>
      <c r="A364" s="11"/>
      <c r="B364" s="11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>
      <c r="A365" s="11"/>
      <c r="B365" s="11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>
      <c r="A366" s="11"/>
      <c r="B366" s="11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>
      <c r="A367" s="11"/>
      <c r="B367" s="11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>
      <c r="A368" s="11"/>
      <c r="B368" s="11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>
      <c r="A369" s="11"/>
      <c r="B369" s="11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>
      <c r="A370" s="11"/>
      <c r="B370" s="11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>
      <c r="A371" s="11"/>
      <c r="B371" s="11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>
      <c r="A372" s="11"/>
      <c r="B372" s="11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>
      <c r="A373" s="11"/>
      <c r="B373" s="11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>
      <c r="A374" s="11"/>
      <c r="B374" s="11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>
      <c r="A375" s="11"/>
      <c r="B375" s="11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>
      <c r="A376" s="11"/>
      <c r="B376" s="11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>
      <c r="A377" s="11"/>
      <c r="B377" s="11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>
      <c r="A378" s="11"/>
      <c r="B378" s="11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>
      <c r="A379" s="11"/>
      <c r="B379" s="11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>
      <c r="A380" s="11"/>
      <c r="B380" s="11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>
      <c r="A381" s="11"/>
      <c r="B381" s="11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>
      <c r="A382" s="11"/>
      <c r="B382" s="11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>
      <c r="A383" s="11"/>
      <c r="B383" s="11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>
      <c r="A384" s="11"/>
      <c r="B384" s="11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>
      <c r="A385" s="11"/>
      <c r="B385" s="11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>
      <c r="A386" s="11"/>
      <c r="B386" s="11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>
      <c r="A387" s="11"/>
      <c r="B387" s="11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>
      <c r="A388" s="11"/>
      <c r="B388" s="11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>
      <c r="A389" s="11"/>
      <c r="B389" s="11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>
      <c r="A390" s="11"/>
      <c r="B390" s="11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>
      <c r="A391" s="11"/>
      <c r="B391" s="11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>
      <c r="A392" s="11"/>
      <c r="B392" s="11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>
      <c r="A393" s="11"/>
      <c r="B393" s="11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>
      <c r="A394" s="11"/>
      <c r="B394" s="11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>
      <c r="A395" s="11"/>
      <c r="B395" s="11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>
      <c r="A396" s="11"/>
      <c r="B396" s="11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>
      <c r="A397" s="11"/>
      <c r="B397" s="11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>
      <c r="A398" s="11"/>
      <c r="B398" s="11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>
      <c r="A399" s="11"/>
      <c r="B399" s="11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>
      <c r="A400" s="11"/>
      <c r="B400" s="11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>
      <c r="A401" s="11"/>
      <c r="B401" s="11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>
      <c r="A402" s="11"/>
      <c r="B402" s="11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>
      <c r="A403" s="11"/>
      <c r="B403" s="11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>
      <c r="A404" s="11"/>
      <c r="B404" s="11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>
      <c r="A405" s="11"/>
      <c r="B405" s="11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>
      <c r="A406" s="11"/>
      <c r="B406" s="11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>
      <c r="A407" s="11"/>
      <c r="B407" s="11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>
      <c r="A408" s="11"/>
      <c r="B408" s="11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>
      <c r="A409" s="11"/>
      <c r="B409" s="11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>
      <c r="A410" s="11"/>
      <c r="B410" s="11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>
      <c r="A411" s="11"/>
      <c r="B411" s="11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>
      <c r="A412" s="11"/>
      <c r="B412" s="11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>
      <c r="A413" s="11"/>
      <c r="B413" s="11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>
      <c r="A414" s="11"/>
      <c r="B414" s="11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>
      <c r="A415" s="11"/>
      <c r="B415" s="11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>
      <c r="A416" s="11"/>
      <c r="B416" s="11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>
      <c r="A417" s="11"/>
      <c r="B417" s="11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>
      <c r="A418" s="11"/>
      <c r="B418" s="11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>
      <c r="A419" s="11"/>
      <c r="B419" s="11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>
      <c r="A420" s="11"/>
      <c r="B420" s="11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>
      <c r="A421" s="11"/>
      <c r="B421" s="11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>
      <c r="A422" s="11"/>
      <c r="B422" s="11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>
      <c r="A423" s="11"/>
      <c r="B423" s="11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>
      <c r="A424" s="11"/>
      <c r="B424" s="11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>
      <c r="A425" s="11"/>
      <c r="B425" s="11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>
      <c r="A426" s="11"/>
      <c r="B426" s="11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>
      <c r="A427" s="11"/>
      <c r="B427" s="11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>
      <c r="A428" s="11"/>
      <c r="B428" s="11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>
      <c r="A429" s="11"/>
      <c r="B429" s="11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>
      <c r="A430" s="11"/>
      <c r="B430" s="11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>
      <c r="A431" s="11"/>
      <c r="B431" s="11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>
      <c r="A432" s="11"/>
      <c r="B432" s="11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>
      <c r="A433" s="11"/>
      <c r="B433" s="11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>
      <c r="A434" s="11"/>
      <c r="B434" s="11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>
      <c r="A435" s="11"/>
      <c r="B435" s="11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>
      <c r="A436" s="11"/>
      <c r="B436" s="11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>
      <c r="A437" s="11"/>
      <c r="B437" s="11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>
      <c r="A438" s="11"/>
      <c r="B438" s="11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>
      <c r="A439" s="11"/>
      <c r="B439" s="11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>
      <c r="A440" s="11"/>
      <c r="B440" s="11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>
      <c r="A441" s="11"/>
      <c r="B441" s="11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>
      <c r="A442" s="11"/>
      <c r="B442" s="11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>
      <c r="A443" s="11"/>
      <c r="B443" s="11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>
      <c r="A444" s="11"/>
      <c r="B444" s="11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>
      <c r="A445" s="11"/>
      <c r="B445" s="11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>
      <c r="A446" s="11"/>
      <c r="B446" s="11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>
      <c r="A447" s="11"/>
      <c r="B447" s="11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>
      <c r="A448" s="11"/>
      <c r="B448" s="11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>
      <c r="A449" s="11"/>
      <c r="B449" s="11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>
      <c r="A450" s="11"/>
      <c r="B450" s="11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>
      <c r="A451" s="11"/>
      <c r="B451" s="11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>
      <c r="A452" s="11"/>
      <c r="B452" s="11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>
      <c r="A453" s="11"/>
      <c r="B453" s="11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>
      <c r="A454" s="11"/>
      <c r="B454" s="11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>
      <c r="A455" s="11"/>
      <c r="B455" s="11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>
      <c r="A456" s="11"/>
      <c r="B456" s="11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>
      <c r="A457" s="11"/>
      <c r="B457" s="11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>
      <c r="A458" s="11"/>
      <c r="B458" s="11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>
      <c r="A459" s="11"/>
      <c r="B459" s="11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>
      <c r="A460" s="11"/>
      <c r="B460" s="11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>
      <c r="A461" s="11"/>
      <c r="B461" s="11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>
      <c r="A462" s="11"/>
      <c r="B462" s="11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>
      <c r="A463" s="11"/>
      <c r="B463" s="11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>
      <c r="A464" s="11"/>
      <c r="B464" s="11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>
      <c r="A465" s="11"/>
      <c r="B465" s="11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>
      <c r="A466" s="11"/>
      <c r="B466" s="11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>
      <c r="A467" s="11"/>
      <c r="B467" s="11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>
      <c r="A468" s="11"/>
      <c r="B468" s="11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>
      <c r="A469" s="11"/>
      <c r="B469" s="11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>
      <c r="A470" s="11"/>
      <c r="B470" s="11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>
      <c r="A471" s="11"/>
      <c r="B471" s="11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>
      <c r="A472" s="11"/>
      <c r="B472" s="11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>
      <c r="A473" s="11"/>
      <c r="B473" s="11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>
      <c r="A474" s="11"/>
      <c r="B474" s="11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>
      <c r="A475" s="11"/>
      <c r="B475" s="11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>
      <c r="A476" s="11"/>
      <c r="B476" s="11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>
      <c r="A477" s="11"/>
      <c r="B477" s="11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>
      <c r="A478" s="11"/>
      <c r="B478" s="11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>
      <c r="A479" s="11"/>
      <c r="B479" s="11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>
      <c r="A480" s="11"/>
      <c r="B480" s="11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>
      <c r="A481" s="11"/>
      <c r="B481" s="11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>
      <c r="A482" s="11"/>
      <c r="B482" s="11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>
      <c r="A483" s="11"/>
      <c r="B483" s="11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>
      <c r="A484" s="11"/>
      <c r="B484" s="11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>
      <c r="A485" s="11"/>
      <c r="B485" s="11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>
      <c r="A486" s="11"/>
      <c r="B486" s="11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>
      <c r="A487" s="11"/>
      <c r="B487" s="11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>
      <c r="A488" s="11"/>
      <c r="B488" s="11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>
      <c r="A489" s="11"/>
      <c r="B489" s="11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>
      <c r="A490" s="11"/>
      <c r="B490" s="11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>
      <c r="A491" s="11"/>
      <c r="B491" s="11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>
      <c r="A492" s="11"/>
      <c r="B492" s="11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>
      <c r="A493" s="11"/>
      <c r="B493" s="11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>
      <c r="A494" s="11"/>
      <c r="B494" s="11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>
      <c r="A495" s="11"/>
      <c r="B495" s="11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>
      <c r="A496" s="11"/>
      <c r="B496" s="11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>
      <c r="A497" s="11"/>
      <c r="B497" s="11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>
      <c r="A498" s="11"/>
      <c r="B498" s="11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>
      <c r="A499" s="11"/>
      <c r="B499" s="11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>
      <c r="A500" s="11"/>
      <c r="B500" s="11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>
      <c r="A501" s="11"/>
      <c r="B501" s="11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>
      <c r="A502" s="11"/>
      <c r="B502" s="11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>
      <c r="A503" s="11"/>
      <c r="B503" s="11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>
      <c r="A504" s="11"/>
      <c r="B504" s="11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>
      <c r="A505" s="11"/>
      <c r="B505" s="11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>
      <c r="A506" s="11"/>
      <c r="B506" s="11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>
      <c r="A507" s="11"/>
      <c r="B507" s="11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>
      <c r="A508" s="11"/>
      <c r="B508" s="11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>
      <c r="A509" s="11"/>
      <c r="B509" s="11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>
      <c r="A510" s="11"/>
      <c r="B510" s="11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>
      <c r="A511" s="11"/>
      <c r="B511" s="11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>
      <c r="A512" s="11"/>
      <c r="B512" s="11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>
      <c r="A513" s="11"/>
      <c r="B513" s="11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>
      <c r="A514" s="11"/>
      <c r="B514" s="11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>
      <c r="A515" s="11"/>
      <c r="B515" s="11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>
      <c r="A516" s="11"/>
      <c r="B516" s="11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>
      <c r="A517" s="11"/>
      <c r="B517" s="11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>
      <c r="A518" s="11"/>
      <c r="B518" s="11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>
      <c r="A519" s="11"/>
      <c r="B519" s="11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>
      <c r="A520" s="11"/>
      <c r="B520" s="11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>
      <c r="A521" s="11"/>
      <c r="B521" s="11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>
      <c r="A522" s="11"/>
      <c r="B522" s="11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>
      <c r="A523" s="11"/>
      <c r="B523" s="11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>
      <c r="A524" s="11"/>
      <c r="B524" s="11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>
      <c r="A525" s="11"/>
      <c r="B525" s="11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>
      <c r="A526" s="11"/>
      <c r="B526" s="11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>
      <c r="A527" s="11"/>
      <c r="B527" s="11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>
      <c r="A528" s="11"/>
      <c r="B528" s="11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>
      <c r="A529" s="11"/>
      <c r="B529" s="11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>
      <c r="A530" s="11"/>
      <c r="B530" s="11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>
      <c r="A531" s="11"/>
      <c r="B531" s="11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>
      <c r="A532" s="11"/>
      <c r="B532" s="11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>
      <c r="A533" s="11"/>
      <c r="B533" s="11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>
      <c r="A534" s="11"/>
      <c r="B534" s="11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>
      <c r="A535" s="11"/>
      <c r="B535" s="11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>
      <c r="A536" s="11"/>
      <c r="B536" s="11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>
      <c r="A537" s="11"/>
      <c r="B537" s="11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>
      <c r="A538" s="11"/>
      <c r="B538" s="11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>
      <c r="A539" s="11"/>
      <c r="B539" s="11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>
      <c r="A540" s="11"/>
      <c r="B540" s="11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>
      <c r="A541" s="11"/>
      <c r="B541" s="11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>
      <c r="A542" s="11"/>
      <c r="B542" s="11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>
      <c r="A543" s="11"/>
      <c r="B543" s="11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>
      <c r="A544" s="11"/>
      <c r="B544" s="11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>
      <c r="A545" s="11"/>
      <c r="B545" s="11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>
      <c r="A546" s="11"/>
      <c r="B546" s="11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>
      <c r="A547" s="11"/>
      <c r="B547" s="11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>
      <c r="A548" s="11"/>
      <c r="B548" s="11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>
      <c r="A549" s="11"/>
      <c r="B549" s="11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>
      <c r="A550" s="11"/>
      <c r="B550" s="11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>
      <c r="A551" s="11"/>
      <c r="B551" s="11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>
      <c r="A552" s="11"/>
      <c r="B552" s="11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>
      <c r="A553" s="11"/>
      <c r="B553" s="11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>
      <c r="A554" s="11"/>
      <c r="B554" s="11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>
      <c r="A555" s="11"/>
      <c r="B555" s="11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>
      <c r="A556" s="11"/>
      <c r="B556" s="11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>
      <c r="A557" s="11"/>
      <c r="B557" s="11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>
      <c r="A558" s="11"/>
      <c r="B558" s="11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>
      <c r="A559" s="11"/>
      <c r="B559" s="11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>
      <c r="A560" s="11"/>
      <c r="B560" s="11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>
      <c r="A561" s="11"/>
      <c r="B561" s="11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>
      <c r="A562" s="11"/>
      <c r="B562" s="11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>
      <c r="A563" s="11"/>
      <c r="B563" s="11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>
      <c r="A564" s="11"/>
      <c r="B564" s="11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>
      <c r="A565" s="11"/>
      <c r="B565" s="11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>
      <c r="A566" s="11"/>
      <c r="B566" s="11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>
      <c r="A567" s="11"/>
      <c r="B567" s="11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>
      <c r="A568" s="11"/>
      <c r="B568" s="11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>
      <c r="A569" s="11"/>
      <c r="B569" s="11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>
      <c r="A570" s="11"/>
      <c r="B570" s="11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>
      <c r="A571" s="11"/>
      <c r="B571" s="11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>
      <c r="A572" s="11"/>
      <c r="B572" s="11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>
      <c r="A573" s="11"/>
      <c r="B573" s="11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>
      <c r="A574" s="11"/>
      <c r="B574" s="11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>
      <c r="A575" s="11"/>
      <c r="B575" s="11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>
      <c r="A576" s="11"/>
      <c r="B576" s="11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>
      <c r="A577" s="11"/>
      <c r="B577" s="11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>
      <c r="A578" s="11"/>
      <c r="B578" s="11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>
      <c r="A579" s="11"/>
      <c r="B579" s="11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>
      <c r="A580" s="11"/>
      <c r="B580" s="11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>
      <c r="A581" s="11"/>
      <c r="B581" s="11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>
      <c r="A582" s="11"/>
      <c r="B582" s="11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>
      <c r="A583" s="11"/>
      <c r="B583" s="11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>
      <c r="A584" s="11"/>
      <c r="B584" s="11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>
      <c r="A585" s="11"/>
      <c r="B585" s="11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>
      <c r="A586" s="11"/>
      <c r="B586" s="11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>
      <c r="A587" s="11"/>
      <c r="B587" s="11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>
      <c r="A588" s="11"/>
      <c r="B588" s="11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>
      <c r="A589" s="11"/>
      <c r="B589" s="11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>
      <c r="A590" s="11"/>
      <c r="B590" s="11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>
      <c r="A591" s="11"/>
      <c r="B591" s="11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>
      <c r="A592" s="11"/>
      <c r="B592" s="11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>
      <c r="A593" s="11"/>
      <c r="B593" s="11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>
      <c r="A594" s="11"/>
      <c r="B594" s="11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>
      <c r="A595" s="11"/>
      <c r="B595" s="11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>
      <c r="A596" s="11"/>
      <c r="B596" s="11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>
      <c r="A597" s="11"/>
      <c r="B597" s="11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>
      <c r="A598" s="11"/>
      <c r="B598" s="11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>
      <c r="A599" s="11"/>
      <c r="B599" s="11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>
      <c r="A600" s="11"/>
      <c r="B600" s="11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>
      <c r="A601" s="11"/>
      <c r="B601" s="11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>
      <c r="A602" s="11"/>
      <c r="B602" s="11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>
      <c r="A603" s="11"/>
      <c r="B603" s="11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>
      <c r="A604" s="11"/>
      <c r="B604" s="11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>
      <c r="A605" s="11"/>
      <c r="B605" s="11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>
      <c r="A606" s="11"/>
      <c r="B606" s="11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>
      <c r="A607" s="11"/>
      <c r="B607" s="11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>
      <c r="A608" s="11"/>
      <c r="B608" s="11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>
      <c r="A609" s="11"/>
      <c r="B609" s="11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>
      <c r="A610" s="11"/>
      <c r="B610" s="11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>
      <c r="A611" s="11"/>
      <c r="B611" s="11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>
      <c r="A612" s="11"/>
      <c r="B612" s="11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>
      <c r="A613" s="11"/>
      <c r="B613" s="11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>
      <c r="A614" s="11"/>
      <c r="B614" s="11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>
      <c r="A615" s="11"/>
      <c r="B615" s="11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>
      <c r="A616" s="11"/>
      <c r="B616" s="11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>
      <c r="A617" s="11"/>
      <c r="B617" s="11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>
      <c r="A618" s="11"/>
      <c r="B618" s="11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>
      <c r="A619" s="11"/>
      <c r="B619" s="11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>
      <c r="A620" s="11"/>
      <c r="B620" s="11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>
      <c r="A621" s="11"/>
      <c r="B621" s="11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>
      <c r="A622" s="11"/>
      <c r="B622" s="11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>
      <c r="A623" s="11"/>
      <c r="B623" s="11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>
      <c r="A624" s="11"/>
      <c r="B624" s="11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>
      <c r="A625" s="11"/>
      <c r="B625" s="11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>
      <c r="A626" s="11"/>
      <c r="B626" s="11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>
      <c r="A627" s="11"/>
      <c r="B627" s="11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>
      <c r="A628" s="11"/>
      <c r="B628" s="11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>
      <c r="A629" s="11"/>
      <c r="B629" s="11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>
      <c r="A630" s="11"/>
      <c r="B630" s="11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>
      <c r="A631" s="11"/>
      <c r="B631" s="11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>
      <c r="A632" s="11"/>
      <c r="B632" s="11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>
      <c r="A633" s="11"/>
      <c r="B633" s="11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>
      <c r="A634" s="11"/>
      <c r="B634" s="11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>
      <c r="A635" s="11"/>
      <c r="B635" s="11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>
      <c r="A636" s="11"/>
      <c r="B636" s="11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>
      <c r="A637" s="11"/>
      <c r="B637" s="11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>
      <c r="A638" s="11"/>
      <c r="B638" s="11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>
      <c r="A639" s="11"/>
      <c r="B639" s="11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>
      <c r="A640" s="11"/>
      <c r="B640" s="11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>
      <c r="A641" s="11"/>
      <c r="B641" s="11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>
      <c r="A642" s="11"/>
      <c r="B642" s="11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>
      <c r="A643" s="11"/>
      <c r="B643" s="11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>
      <c r="A644" s="11"/>
      <c r="B644" s="11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>
      <c r="A645" s="11"/>
      <c r="B645" s="11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>
      <c r="A646" s="11"/>
      <c r="B646" s="11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>
      <c r="A647" s="11"/>
      <c r="B647" s="11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>
      <c r="A648" s="11"/>
      <c r="B648" s="11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>
      <c r="A649" s="11"/>
      <c r="B649" s="11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>
      <c r="A650" s="11"/>
      <c r="B650" s="11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>
      <c r="A651" s="11"/>
      <c r="B651" s="11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>
      <c r="A652" s="11"/>
      <c r="B652" s="11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>
      <c r="A653" s="11"/>
      <c r="B653" s="11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>
      <c r="A654" s="11"/>
      <c r="B654" s="11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>
      <c r="A655" s="11"/>
      <c r="B655" s="11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>
      <c r="A656" s="11"/>
      <c r="B656" s="11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>
      <c r="A657" s="11"/>
      <c r="B657" s="11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>
      <c r="A658" s="11"/>
      <c r="B658" s="11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>
      <c r="A659" s="11"/>
      <c r="B659" s="11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>
      <c r="A660" s="11"/>
      <c r="B660" s="11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>
      <c r="A661" s="11"/>
      <c r="B661" s="11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>
      <c r="A662" s="11"/>
      <c r="B662" s="11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>
      <c r="A663" s="11"/>
      <c r="B663" s="11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>
      <c r="A664" s="11"/>
      <c r="B664" s="11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>
      <c r="A665" s="11"/>
      <c r="B665" s="11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>
      <c r="A666" s="11"/>
      <c r="B666" s="11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>
      <c r="A667" s="11"/>
      <c r="B667" s="11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>
      <c r="A668" s="11"/>
      <c r="B668" s="11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>
      <c r="A669" s="11"/>
      <c r="B669" s="11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>
      <c r="A670" s="11"/>
      <c r="B670" s="11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>
      <c r="A671" s="11"/>
      <c r="B671" s="11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>
      <c r="A672" s="11"/>
      <c r="B672" s="11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>
      <c r="A673" s="11"/>
      <c r="B673" s="11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>
      <c r="A674" s="11"/>
      <c r="B674" s="11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>
      <c r="A675" s="11"/>
      <c r="B675" s="11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>
      <c r="A676" s="11"/>
      <c r="B676" s="11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>
      <c r="A677" s="11"/>
      <c r="B677" s="11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>
      <c r="A678" s="11"/>
      <c r="B678" s="11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>
      <c r="A679" s="11"/>
      <c r="B679" s="11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>
      <c r="A680" s="11"/>
      <c r="B680" s="11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>
      <c r="A681" s="11"/>
      <c r="B681" s="11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>
      <c r="A682" s="11"/>
      <c r="B682" s="11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>
      <c r="A683" s="11"/>
      <c r="B683" s="11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>
      <c r="A684" s="11"/>
      <c r="B684" s="11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>
      <c r="A685" s="11"/>
      <c r="B685" s="11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>
      <c r="A686" s="11"/>
      <c r="B686" s="11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>
      <c r="A687" s="11"/>
      <c r="B687" s="11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>
      <c r="A688" s="11"/>
      <c r="B688" s="11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>
      <c r="A689" s="11"/>
      <c r="B689" s="11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>
      <c r="A690" s="11"/>
      <c r="B690" s="11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>
      <c r="A691" s="11"/>
      <c r="B691" s="11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>
      <c r="A692" s="11"/>
      <c r="B692" s="11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>
      <c r="A693" s="11"/>
      <c r="B693" s="11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>
      <c r="A694" s="11"/>
      <c r="B694" s="11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>
      <c r="A695" s="11"/>
      <c r="B695" s="11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>
      <c r="A696" s="11"/>
      <c r="B696" s="11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>
      <c r="A697" s="11"/>
      <c r="B697" s="11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>
      <c r="A698" s="11"/>
      <c r="B698" s="11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>
      <c r="A699" s="11"/>
      <c r="B699" s="11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>
      <c r="A700" s="11"/>
      <c r="B700" s="11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>
      <c r="A701" s="11"/>
      <c r="B701" s="11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>
      <c r="A702" s="11"/>
      <c r="B702" s="11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>
      <c r="A703" s="11"/>
      <c r="B703" s="11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>
      <c r="A704" s="11"/>
      <c r="B704" s="11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>
      <c r="A705" s="11"/>
      <c r="B705" s="11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>
      <c r="A706" s="11"/>
      <c r="B706" s="11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>
      <c r="A707" s="11"/>
      <c r="B707" s="11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>
      <c r="A708" s="11"/>
      <c r="B708" s="11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>
      <c r="A709" s="11"/>
      <c r="B709" s="11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>
      <c r="A710" s="11"/>
      <c r="B710" s="11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>
      <c r="A711" s="11"/>
      <c r="B711" s="11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>
      <c r="A712" s="11"/>
      <c r="B712" s="11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>
      <c r="A713" s="11"/>
      <c r="B713" s="11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>
      <c r="A714" s="11"/>
      <c r="B714" s="11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>
      <c r="A715" s="11"/>
      <c r="B715" s="11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>
      <c r="A716" s="11"/>
      <c r="B716" s="11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>
      <c r="A717" s="11"/>
      <c r="B717" s="11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>
      <c r="A718" s="11"/>
      <c r="B718" s="11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>
      <c r="A719" s="11"/>
      <c r="B719" s="11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>
      <c r="A720" s="11"/>
      <c r="B720" s="11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>
      <c r="A721" s="11"/>
      <c r="B721" s="11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>
      <c r="A722" s="11"/>
      <c r="B722" s="11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>
      <c r="A723" s="11"/>
      <c r="B723" s="11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>
      <c r="A724" s="11"/>
      <c r="B724" s="11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>
      <c r="A725" s="11"/>
      <c r="B725" s="11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>
      <c r="A726" s="11"/>
      <c r="B726" s="11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>
      <c r="A727" s="11"/>
      <c r="B727" s="11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>
      <c r="A728" s="11"/>
      <c r="B728" s="11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>
      <c r="A729" s="11"/>
      <c r="B729" s="11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>
      <c r="A730" s="11"/>
      <c r="B730" s="11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>
      <c r="A731" s="11"/>
      <c r="B731" s="11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>
      <c r="A732" s="11"/>
      <c r="B732" s="11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>
      <c r="A733" s="11"/>
      <c r="B733" s="11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>
      <c r="A734" s="11"/>
      <c r="B734" s="11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>
      <c r="A735" s="11"/>
      <c r="B735" s="11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>
      <c r="A736" s="11"/>
      <c r="B736" s="11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>
      <c r="A737" s="11"/>
      <c r="B737" s="11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>
      <c r="A738" s="11"/>
      <c r="B738" s="11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>
      <c r="A739" s="11"/>
      <c r="B739" s="11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>
      <c r="A740" s="11"/>
      <c r="B740" s="11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>
      <c r="A741" s="11"/>
      <c r="B741" s="11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>
      <c r="A742" s="11"/>
      <c r="B742" s="11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>
      <c r="A743" s="11"/>
      <c r="B743" s="11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>
      <c r="A744" s="11"/>
      <c r="B744" s="11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>
      <c r="A745" s="11"/>
      <c r="B745" s="11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>
      <c r="A746" s="11"/>
      <c r="B746" s="11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>
      <c r="A747" s="11"/>
      <c r="B747" s="11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>
      <c r="A748" s="11"/>
      <c r="B748" s="11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>
      <c r="A749" s="11"/>
      <c r="B749" s="11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>
      <c r="A750" s="11"/>
      <c r="B750" s="11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>
      <c r="A751" s="11"/>
      <c r="B751" s="11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>
      <c r="A752" s="11"/>
      <c r="B752" s="11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>
      <c r="A753" s="11"/>
      <c r="B753" s="11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>
      <c r="A754" s="11"/>
      <c r="B754" s="11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>
      <c r="A755" s="11"/>
      <c r="B755" s="11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>
      <c r="A756" s="11"/>
      <c r="B756" s="11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>
      <c r="A757" s="11"/>
      <c r="B757" s="11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>
      <c r="A758" s="11"/>
      <c r="B758" s="11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>
      <c r="A759" s="11"/>
      <c r="B759" s="11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>
      <c r="A760" s="11"/>
      <c r="B760" s="11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>
      <c r="A761" s="11"/>
      <c r="B761" s="11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>
      <c r="A762" s="11"/>
      <c r="B762" s="11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>
      <c r="A763" s="11"/>
      <c r="B763" s="11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>
      <c r="A764" s="11"/>
      <c r="B764" s="11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>
      <c r="A765" s="11"/>
      <c r="B765" s="11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>
      <c r="A766" s="11"/>
      <c r="B766" s="11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>
      <c r="A767" s="11"/>
      <c r="B767" s="11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>
      <c r="A768" s="11"/>
      <c r="B768" s="11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>
      <c r="A769" s="11"/>
      <c r="B769" s="11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>
      <c r="A770" s="11"/>
      <c r="B770" s="11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>
      <c r="A771" s="11"/>
      <c r="B771" s="11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>
      <c r="A772" s="11"/>
      <c r="B772" s="11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>
      <c r="A773" s="11"/>
      <c r="B773" s="11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>
      <c r="A774" s="11"/>
      <c r="B774" s="11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>
      <c r="A775" s="11"/>
      <c r="B775" s="11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>
      <c r="A776" s="11"/>
      <c r="B776" s="11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>
      <c r="A777" s="11"/>
      <c r="B777" s="11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>
      <c r="A778" s="11"/>
      <c r="B778" s="11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>
      <c r="A779" s="11"/>
      <c r="B779" s="11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>
      <c r="A780" s="11"/>
      <c r="B780" s="11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>
      <c r="A781" s="11"/>
      <c r="B781" s="11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>
      <c r="A782" s="11"/>
      <c r="B782" s="11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>
      <c r="A783" s="11"/>
      <c r="B783" s="11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>
      <c r="A784" s="11"/>
      <c r="B784" s="11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>
      <c r="A785" s="11"/>
      <c r="B785" s="11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>
      <c r="A786" s="11"/>
      <c r="B786" s="11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>
      <c r="A787" s="11"/>
      <c r="B787" s="11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>
      <c r="A788" s="11"/>
      <c r="B788" s="11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>
      <c r="A789" s="11"/>
      <c r="B789" s="11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>
      <c r="A790" s="11"/>
      <c r="B790" s="11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>
      <c r="A791" s="11"/>
      <c r="B791" s="11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>
      <c r="A792" s="11"/>
      <c r="B792" s="11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>
      <c r="A793" s="11"/>
      <c r="B793" s="11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>
      <c r="A794" s="11"/>
      <c r="B794" s="11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>
      <c r="A795" s="11"/>
      <c r="B795" s="11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>
      <c r="A796" s="11"/>
      <c r="B796" s="11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>
      <c r="A797" s="11"/>
      <c r="B797" s="11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>
      <c r="A798" s="11"/>
      <c r="B798" s="11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>
      <c r="A799" s="11"/>
      <c r="B799" s="11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>
      <c r="A800" s="11"/>
      <c r="B800" s="11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>
      <c r="A801" s="11"/>
      <c r="B801" s="11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>
      <c r="A802" s="11"/>
      <c r="B802" s="11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>
      <c r="A803" s="11"/>
      <c r="B803" s="11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>
      <c r="A804" s="11"/>
      <c r="B804" s="11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>
      <c r="A805" s="11"/>
      <c r="B805" s="11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>
      <c r="A806" s="11"/>
      <c r="B806" s="11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>
      <c r="A807" s="11"/>
      <c r="B807" s="11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>
      <c r="A808" s="11"/>
      <c r="B808" s="11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>
      <c r="A809" s="11"/>
      <c r="B809" s="11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>
      <c r="A810" s="11"/>
      <c r="B810" s="11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>
      <c r="A811" s="11"/>
      <c r="B811" s="11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>
      <c r="A812" s="11"/>
      <c r="B812" s="11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>
      <c r="A813" s="11"/>
      <c r="B813" s="11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>
      <c r="A814" s="11"/>
      <c r="B814" s="11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>
      <c r="A815" s="11"/>
      <c r="B815" s="11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>
      <c r="A816" s="11"/>
      <c r="B816" s="11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>
      <c r="A817" s="11"/>
      <c r="B817" s="11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>
      <c r="A818" s="11"/>
      <c r="B818" s="11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>
      <c r="A819" s="11"/>
      <c r="B819" s="11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>
      <c r="A820" s="11"/>
      <c r="B820" s="11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>
      <c r="A821" s="11"/>
      <c r="B821" s="11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>
      <c r="A822" s="11"/>
      <c r="B822" s="11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>
      <c r="A823" s="11"/>
      <c r="B823" s="11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>
      <c r="A824" s="11"/>
      <c r="B824" s="11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>
      <c r="A825" s="11"/>
      <c r="B825" s="11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>
      <c r="A826" s="11"/>
      <c r="B826" s="11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>
      <c r="A827" s="11"/>
      <c r="B827" s="11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>
      <c r="A828" s="11"/>
      <c r="B828" s="11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>
      <c r="A829" s="11"/>
      <c r="B829" s="11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>
      <c r="A830" s="11"/>
      <c r="B830" s="11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>
      <c r="A831" s="11"/>
      <c r="B831" s="11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>
      <c r="A832" s="11"/>
      <c r="B832" s="11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>
      <c r="A833" s="11"/>
      <c r="B833" s="11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>
      <c r="A834" s="11"/>
      <c r="B834" s="11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>
      <c r="A835" s="11"/>
      <c r="B835" s="11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>
      <c r="A836" s="11"/>
      <c r="B836" s="11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>
      <c r="A837" s="11"/>
      <c r="B837" s="11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>
      <c r="A838" s="11"/>
      <c r="B838" s="11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>
      <c r="A839" s="11"/>
      <c r="B839" s="11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>
      <c r="A840" s="11"/>
      <c r="B840" s="11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>
      <c r="A841" s="11"/>
      <c r="B841" s="11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>
      <c r="A842" s="11"/>
      <c r="B842" s="11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>
      <c r="A843" s="11"/>
      <c r="B843" s="11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>
      <c r="A844" s="11"/>
      <c r="B844" s="11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>
      <c r="A845" s="11"/>
      <c r="B845" s="11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>
      <c r="A846" s="11"/>
      <c r="B846" s="11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>
      <c r="A847" s="11"/>
      <c r="B847" s="11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>
      <c r="A848" s="11"/>
      <c r="B848" s="11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>
      <c r="A849" s="11"/>
      <c r="B849" s="11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>
      <c r="A850" s="11"/>
      <c r="B850" s="11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>
      <c r="A851" s="11"/>
      <c r="B851" s="11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>
      <c r="A852" s="11"/>
      <c r="B852" s="11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>
      <c r="A853" s="11"/>
      <c r="B853" s="11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>
      <c r="A854" s="11"/>
      <c r="B854" s="11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>
      <c r="A855" s="11"/>
      <c r="B855" s="11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>
      <c r="A856" s="11"/>
      <c r="B856" s="11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>
      <c r="A857" s="11"/>
      <c r="B857" s="11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>
      <c r="A858" s="11"/>
      <c r="B858" s="11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>
      <c r="A859" s="11"/>
      <c r="B859" s="11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>
      <c r="A860" s="11"/>
      <c r="B860" s="11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>
      <c r="A861" s="11"/>
      <c r="B861" s="11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>
      <c r="A862" s="11"/>
      <c r="B862" s="11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>
      <c r="A863" s="11"/>
      <c r="B863" s="11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>
      <c r="A864" s="11"/>
      <c r="B864" s="11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>
      <c r="A865" s="11"/>
      <c r="B865" s="11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>
      <c r="A866" s="11"/>
      <c r="B866" s="11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>
      <c r="A867" s="11"/>
      <c r="B867" s="11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>
      <c r="A868" s="11"/>
      <c r="B868" s="11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>
      <c r="A869" s="11"/>
      <c r="B869" s="11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>
      <c r="A870" s="11"/>
      <c r="B870" s="11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>
      <c r="A871" s="11"/>
      <c r="B871" s="11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>
      <c r="A872" s="11"/>
      <c r="B872" s="11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>
      <c r="A873" s="11"/>
      <c r="B873" s="11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>
      <c r="A874" s="11"/>
      <c r="B874" s="11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>
      <c r="A875" s="11"/>
      <c r="B875" s="11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>
      <c r="A876" s="11"/>
      <c r="B876" s="11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>
      <c r="A877" s="11"/>
      <c r="B877" s="11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>
      <c r="A878" s="11"/>
      <c r="B878" s="11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>
      <c r="A879" s="11"/>
      <c r="B879" s="11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>
      <c r="A880" s="11"/>
      <c r="B880" s="11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>
      <c r="A881" s="11"/>
      <c r="B881" s="11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>
      <c r="A882" s="11"/>
      <c r="B882" s="11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>
      <c r="A883" s="11"/>
      <c r="B883" s="11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>
      <c r="A884" s="11"/>
      <c r="B884" s="11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>
      <c r="A885" s="11"/>
      <c r="B885" s="11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>
      <c r="A886" s="11"/>
      <c r="B886" s="11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>
      <c r="A887" s="11"/>
      <c r="B887" s="11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>
      <c r="A888" s="11"/>
      <c r="B888" s="11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>
      <c r="A889" s="11"/>
      <c r="B889" s="11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>
      <c r="A890" s="11"/>
      <c r="B890" s="11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>
      <c r="A891" s="11"/>
      <c r="B891" s="11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>
      <c r="A892" s="11"/>
      <c r="B892" s="11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>
      <c r="A893" s="11"/>
      <c r="B893" s="11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>
      <c r="A894" s="11"/>
      <c r="B894" s="11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>
      <c r="A895" s="11"/>
      <c r="B895" s="11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>
      <c r="A896" s="11"/>
      <c r="B896" s="11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>
      <c r="A897" s="11"/>
      <c r="B897" s="11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>
      <c r="A898" s="11"/>
      <c r="B898" s="11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>
      <c r="A899" s="11"/>
      <c r="B899" s="11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>
      <c r="A900" s="11"/>
      <c r="B900" s="11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>
      <c r="A901" s="11"/>
      <c r="B901" s="11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>
      <c r="A902" s="11"/>
      <c r="B902" s="11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>
      <c r="A903" s="11"/>
      <c r="B903" s="11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>
      <c r="A904" s="11"/>
      <c r="B904" s="11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>
      <c r="A905" s="11"/>
      <c r="B905" s="11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>
      <c r="A906" s="11"/>
      <c r="B906" s="11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>
      <c r="A907" s="11"/>
      <c r="B907" s="11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>
      <c r="A908" s="11"/>
      <c r="B908" s="11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>
      <c r="A909" s="11"/>
      <c r="B909" s="11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>
      <c r="A910" s="11"/>
      <c r="B910" s="11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>
      <c r="A911" s="11"/>
      <c r="B911" s="11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>
      <c r="A912" s="11"/>
      <c r="B912" s="11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>
      <c r="A913" s="11"/>
      <c r="B913" s="11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>
      <c r="A914" s="11"/>
      <c r="B914" s="11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>
      <c r="A915" s="11"/>
      <c r="B915" s="11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>
      <c r="A916" s="11"/>
      <c r="B916" s="11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>
      <c r="A917" s="11"/>
      <c r="B917" s="11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>
      <c r="A918" s="11"/>
      <c r="B918" s="11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>
      <c r="A919" s="11"/>
      <c r="B919" s="11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>
      <c r="A920" s="11"/>
      <c r="B920" s="11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>
      <c r="A921" s="11"/>
      <c r="B921" s="11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>
      <c r="A922" s="11"/>
      <c r="B922" s="11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>
      <c r="A923" s="11"/>
      <c r="B923" s="11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>
      <c r="A924" s="11"/>
      <c r="B924" s="11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>
      <c r="A925" s="11"/>
      <c r="B925" s="11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>
      <c r="A926" s="11"/>
      <c r="B926" s="11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>
      <c r="A927" s="11"/>
      <c r="B927" s="11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>
      <c r="A928" s="11"/>
      <c r="B928" s="11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>
      <c r="A929" s="11"/>
      <c r="B929" s="11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>
      <c r="A930" s="11"/>
      <c r="B930" s="11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>
      <c r="A931" s="11"/>
      <c r="B931" s="11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>
      <c r="A932" s="11"/>
      <c r="B932" s="11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>
      <c r="A933" s="11"/>
      <c r="B933" s="11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>
      <c r="A934" s="11"/>
      <c r="B934" s="11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>
      <c r="A935" s="11"/>
      <c r="B935" s="11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>
      <c r="A936" s="11"/>
      <c r="B936" s="11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>
      <c r="A937" s="11"/>
      <c r="B937" s="11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>
      <c r="A938" s="11"/>
      <c r="B938" s="11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>
      <c r="A939" s="11"/>
      <c r="B939" s="11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>
      <c r="A940" s="11"/>
      <c r="B940" s="11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>
      <c r="A941" s="11"/>
      <c r="B941" s="11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>
      <c r="A942" s="11"/>
      <c r="B942" s="11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>
      <c r="A943" s="11"/>
      <c r="B943" s="11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>
      <c r="A944" s="11"/>
      <c r="B944" s="11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>
      <c r="A945" s="11"/>
      <c r="B945" s="11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>
      <c r="A946" s="11"/>
      <c r="B946" s="11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>
      <c r="A947" s="11"/>
      <c r="B947" s="11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>
      <c r="A948" s="11"/>
      <c r="B948" s="11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>
      <c r="A949" s="11"/>
      <c r="B949" s="11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>
      <c r="A950" s="11"/>
      <c r="B950" s="11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>
      <c r="A951" s="11"/>
      <c r="B951" s="11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>
      <c r="A952" s="11"/>
      <c r="B952" s="11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>
      <c r="A953" s="11"/>
      <c r="B953" s="11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>
      <c r="A954" s="11"/>
      <c r="B954" s="11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>
      <c r="A955" s="11"/>
      <c r="B955" s="11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>
      <c r="A956" s="11"/>
      <c r="B956" s="11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>
      <c r="A957" s="11"/>
      <c r="B957" s="11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>
      <c r="A958" s="11"/>
      <c r="B958" s="11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>
      <c r="A959" s="11"/>
      <c r="B959" s="11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>
      <c r="A960" s="11"/>
      <c r="B960" s="11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>
      <c r="A961" s="11"/>
      <c r="B961" s="11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>
      <c r="A962" s="11"/>
      <c r="B962" s="11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>
      <c r="A963" s="11"/>
      <c r="B963" s="11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>
      <c r="A964" s="11"/>
      <c r="B964" s="11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>
      <c r="A965" s="11"/>
      <c r="B965" s="11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>
      <c r="A966" s="11"/>
      <c r="B966" s="11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>
      <c r="A967" s="11"/>
      <c r="B967" s="11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>
      <c r="A968" s="11"/>
      <c r="B968" s="11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>
      <c r="A969" s="11"/>
      <c r="B969" s="11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>
      <c r="A970" s="11"/>
      <c r="B970" s="11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>
      <c r="A971" s="11"/>
      <c r="B971" s="11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>
      <c r="A972" s="11"/>
      <c r="B972" s="11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>
      <c r="A973" s="11"/>
      <c r="B973" s="11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>
      <c r="A974" s="11"/>
      <c r="B974" s="11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>
      <c r="A975" s="11"/>
      <c r="B975" s="11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>
      <c r="A976" s="11"/>
      <c r="B976" s="11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>
      <c r="A977" s="11"/>
      <c r="B977" s="11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>
      <c r="A978" s="11"/>
      <c r="B978" s="11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>
      <c r="A979" s="11"/>
      <c r="B979" s="11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>
      <c r="A980" s="11"/>
      <c r="B980" s="11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>
      <c r="A981" s="11"/>
      <c r="B981" s="11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>
      <c r="A982" s="11"/>
      <c r="B982" s="11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>
      <c r="A983" s="11"/>
      <c r="B983" s="11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>
      <c r="A984" s="11"/>
      <c r="B984" s="11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>
      <c r="A985" s="11"/>
      <c r="B985" s="11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>
      <c r="A986" s="11"/>
      <c r="B986" s="11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>
      <c r="A987" s="11"/>
      <c r="B987" s="11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>
      <c r="A988" s="11"/>
      <c r="B988" s="11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>
      <c r="A989" s="11"/>
      <c r="B989" s="11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>
      <c r="A990" s="11"/>
      <c r="B990" s="11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>
      <c r="A991" s="11"/>
      <c r="B991" s="11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>
      <c r="A992" s="11"/>
      <c r="B992" s="11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>
      <c r="A993" s="11"/>
      <c r="B993" s="11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>
      <c r="A994" s="11"/>
      <c r="B994" s="11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>
      <c r="A995" s="11"/>
      <c r="B995" s="11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>
      <c r="A996" s="11"/>
      <c r="B996" s="11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>
      <c r="A997" s="11"/>
      <c r="B997" s="11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</sheetData>
  <mergeCells count="3">
    <mergeCell ref="A8:B8"/>
    <mergeCell ref="A11:B11"/>
    <mergeCell ref="A19:B19"/>
  </mergeCells>
  <hyperlinks>
    <hyperlink r:id="rId1" location="heading=h.30j0zll" ref="A2"/>
    <hyperlink display="Sourhnná tabulka" location="'Souhrná tabulka'!A1" ref="A9"/>
    <hyperlink display="Rešerše" location="'Rešerše'!A1" ref="A10"/>
    <hyperlink display="I.: Zdravotní náklady" location="'Dílčí výpočet I.Zdravotní nákla'!A1" ref="A12"/>
    <hyperlink display="II.: Farmakoterapie" location="'Dílčí výpočty II.Farmakoterapie'!A1" ref="A13"/>
    <hyperlink display="III.: Absentismus" location="'Dílčí výpočty III.Absenteismus'!A1" ref="A14"/>
    <hyperlink display="IV.: Prezentismu" location="'Dílčí výpočty IV. Prezenteismus'!A1" ref="A15"/>
    <hyperlink display="V.: Předčasná úmrtnost- ušlý zisk " location="'Dílčí výpočty V.PÚ - ušlý zisk'!A1" ref="A16"/>
    <hyperlink display="VI.:QALY" location="'Dílčí výpočty VI.QALY'!A1" ref="A17"/>
    <hyperlink display="VII. VSL" location="'Dílčí výpočty V.VSL'!A1" ref="A18"/>
    <hyperlink display="I.: Odhady prevalencí " location="'Pomocná data I. Odhady prevalen'!A1" ref="A20"/>
    <hyperlink display="II. PÚ Ž" location="'Pomocná data II.PÚ Ž'!A1" ref="A21"/>
    <hyperlink display="III.:PÚ M" location="'Pomocná data III.PÚ M'!A1" ref="A22"/>
    <hyperlink display="IV.: Mzdy a další předpoklady" location="'Pomocná data IV.Mzdy a další př'!A1" ref="A23"/>
    <hyperlink display="V.: PAF" location="'Pomocná data V. PAF'!A1" ref="A24"/>
    <hyperlink display="VI.: Přehled komorbidit" location="'Pomocná data VI.Přehled komorbi'!A1" ref="A25"/>
    <hyperlink display="VII. Vliv BMI tabulka" location="'Pomocná data VII.Vliv BMI tabul'!A1" ref="A26"/>
    <hyperlink display="VIII.: Náklady - zdroje" location="'Pomocná data VIII.Náklady-Zdroj'!A1" ref="A27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7.88"/>
    <col customWidth="1" min="2" max="2" width="19.13"/>
    <col customWidth="1" min="3" max="3" width="20.13"/>
    <col customWidth="1" min="4" max="4" width="15.63"/>
    <col customWidth="1" min="5" max="5" width="11.25"/>
    <col customWidth="1" min="6" max="6" width="12.13"/>
    <col customWidth="1" min="7" max="7" width="13.0"/>
    <col customWidth="1" min="8" max="28" width="11.25"/>
  </cols>
  <sheetData>
    <row r="1" ht="15.75" customHeight="1">
      <c r="A1" s="13"/>
      <c r="B1" s="13"/>
      <c r="C1" s="13"/>
      <c r="D1" s="13"/>
      <c r="E1" s="14"/>
      <c r="F1" s="14"/>
      <c r="H1" s="14"/>
    </row>
    <row r="2" ht="15.75" customHeight="1">
      <c r="A2" s="15" t="s">
        <v>43</v>
      </c>
      <c r="B2" s="16">
        <f>SUM(B5:B6,B9:B11)</f>
        <v>36181134656</v>
      </c>
      <c r="C2" s="13"/>
    </row>
    <row r="3" ht="15.75" customHeight="1"/>
    <row r="4" ht="15.75" customHeight="1">
      <c r="A4" s="15" t="s">
        <v>44</v>
      </c>
      <c r="B4" s="17" t="s">
        <v>45</v>
      </c>
      <c r="C4" s="18">
        <f>SUM(C5:C6)</f>
        <v>0.3607788016</v>
      </c>
      <c r="G4" s="19" t="s">
        <v>46</v>
      </c>
    </row>
    <row r="5" ht="15.75" customHeight="1">
      <c r="A5" s="20" t="s">
        <v>47</v>
      </c>
      <c r="B5" s="21">
        <f>'Dílčí výpočet I.Zdravotní nákla'!O24</f>
        <v>10308698000</v>
      </c>
      <c r="C5" s="18">
        <f t="shared" ref="C5:C6" si="1">B5/$B$2</f>
        <v>0.2849191463</v>
      </c>
    </row>
    <row r="6" ht="15.75" customHeight="1">
      <c r="A6" s="20" t="s">
        <v>48</v>
      </c>
      <c r="B6" s="21">
        <f>'Dílčí výpočty II.Farmakoterapie'!B18</f>
        <v>2744688401</v>
      </c>
      <c r="C6" s="18">
        <f t="shared" si="1"/>
        <v>0.07585965525</v>
      </c>
    </row>
    <row r="7" ht="15.75" customHeight="1">
      <c r="B7" s="22"/>
      <c r="C7" s="18"/>
    </row>
    <row r="8" ht="15.75" customHeight="1">
      <c r="A8" s="15" t="s">
        <v>49</v>
      </c>
      <c r="B8" s="17" t="s">
        <v>50</v>
      </c>
      <c r="C8" s="18">
        <f>SUM(C9:C11)</f>
        <v>0.6392211984</v>
      </c>
    </row>
    <row r="9" ht="15.75" customHeight="1">
      <c r="A9" s="20" t="s">
        <v>51</v>
      </c>
      <c r="B9" s="21">
        <f>'Dílčí výpočty III.Absenteismus'!F7</f>
        <v>8272031784</v>
      </c>
      <c r="C9" s="18">
        <f t="shared" ref="C9:C11" si="2">B9/$B$2</f>
        <v>0.2286283132</v>
      </c>
    </row>
    <row r="10" ht="15.75" customHeight="1">
      <c r="A10" s="20" t="s">
        <v>52</v>
      </c>
      <c r="B10" s="21">
        <f>'Dílčí výpočty IV. Prezenteismus'!C11</f>
        <v>6316454418</v>
      </c>
      <c r="C10" s="18">
        <f t="shared" si="2"/>
        <v>0.1745786714</v>
      </c>
    </row>
    <row r="11" ht="15.75" customHeight="1">
      <c r="A11" s="20" t="s">
        <v>53</v>
      </c>
      <c r="B11" s="21">
        <f>'Dílčí výpočty V.PÚ - ušlý zisk'!G8</f>
        <v>8539262053</v>
      </c>
      <c r="C11" s="18">
        <f t="shared" si="2"/>
        <v>0.2360142139</v>
      </c>
    </row>
    <row r="12" ht="15.75" customHeight="1">
      <c r="A12" s="13" t="s">
        <v>54</v>
      </c>
      <c r="B12" s="23">
        <f>SUM(B9:B11)</f>
        <v>23127748255</v>
      </c>
      <c r="H12" s="24"/>
    </row>
    <row r="13" ht="15.75" customHeight="1">
      <c r="B13" s="22"/>
      <c r="C13" s="22"/>
    </row>
    <row r="14" ht="7.5" customHeight="1">
      <c r="A14" s="25"/>
      <c r="B14" s="26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ht="15.75" customHeight="1">
      <c r="B15" s="22"/>
      <c r="C15" s="22"/>
    </row>
    <row r="16" ht="15.75" customHeight="1">
      <c r="A16" s="15" t="s">
        <v>55</v>
      </c>
      <c r="B16" s="27" t="s">
        <v>56</v>
      </c>
      <c r="C16" s="27" t="s">
        <v>57</v>
      </c>
    </row>
    <row r="17" ht="15.75" customHeight="1">
      <c r="A17" s="20" t="s">
        <v>58</v>
      </c>
      <c r="B17" s="21">
        <f>'Dílčí výpočty V.VSL'!B12</f>
        <v>58985620497</v>
      </c>
      <c r="C17" s="21">
        <f>'Dílčí výpočty V.VSL'!B13</f>
        <v>219460361286</v>
      </c>
    </row>
    <row r="18" ht="15.75" customHeight="1">
      <c r="A18" s="20" t="s">
        <v>59</v>
      </c>
      <c r="B18" s="28">
        <f>'Dílčí výpočty VI.QALY'!F9</f>
        <v>60854910081</v>
      </c>
      <c r="C18" s="28">
        <f>'Dílčí výpočty VI.QALY'!F9</f>
        <v>60854910081</v>
      </c>
    </row>
    <row r="19" ht="15.75" customHeight="1">
      <c r="A19" s="13" t="s">
        <v>60</v>
      </c>
      <c r="B19" s="23">
        <f t="shared" ref="B19:C19" si="3">SUM(B17:B18)</f>
        <v>119840530578</v>
      </c>
      <c r="C19" s="23">
        <f t="shared" si="3"/>
        <v>280315271367</v>
      </c>
    </row>
    <row r="20" ht="15.75" customHeight="1">
      <c r="A20" s="13"/>
      <c r="B20" s="23"/>
      <c r="C20" s="23"/>
    </row>
    <row r="21" ht="15.75" customHeight="1">
      <c r="A21" s="15"/>
      <c r="B21" s="17" t="s">
        <v>61</v>
      </c>
      <c r="C21" s="17" t="s">
        <v>62</v>
      </c>
      <c r="F21" s="13"/>
      <c r="H21" s="14"/>
    </row>
    <row r="22" ht="15.75" customHeight="1">
      <c r="A22" s="15" t="s">
        <v>63</v>
      </c>
      <c r="B22" s="29">
        <f>SUM(B2,B19)</f>
        <v>156021665234</v>
      </c>
      <c r="C22" s="29">
        <f>SUM(B2,C19)</f>
        <v>316496406022</v>
      </c>
      <c r="F22" s="13"/>
    </row>
    <row r="23" ht="15.75" customHeight="1">
      <c r="A23" s="13"/>
      <c r="B23" s="23"/>
      <c r="C23" s="23"/>
      <c r="D23" s="23"/>
    </row>
    <row r="24" ht="7.5" customHeight="1">
      <c r="A24" s="30"/>
      <c r="B24" s="31"/>
      <c r="C24" s="31"/>
      <c r="D24" s="31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ht="15.75" customHeight="1">
      <c r="A25" s="13"/>
      <c r="B25" s="23"/>
      <c r="C25" s="23"/>
      <c r="D25" s="23"/>
    </row>
    <row r="26" ht="15.75" customHeight="1">
      <c r="A26" s="13" t="s">
        <v>64</v>
      </c>
    </row>
    <row r="27" ht="15.75" customHeight="1">
      <c r="A27" s="32"/>
      <c r="B27" s="33" t="s">
        <v>65</v>
      </c>
      <c r="C27" s="33" t="s">
        <v>66</v>
      </c>
      <c r="D27" s="33" t="s">
        <v>67</v>
      </c>
      <c r="E27" s="33" t="s">
        <v>66</v>
      </c>
      <c r="F27" s="33" t="s">
        <v>68</v>
      </c>
      <c r="G27" s="34" t="s">
        <v>66</v>
      </c>
    </row>
    <row r="28" ht="15.75" customHeight="1">
      <c r="A28" s="35" t="s">
        <v>69</v>
      </c>
      <c r="B28" s="36">
        <f>SUM(B5:B6)/1000000</f>
        <v>13053.3864</v>
      </c>
      <c r="C28" s="37" t="s">
        <v>70</v>
      </c>
      <c r="D28" s="36">
        <f>SUM(B9:B11)/1000000</f>
        <v>23127.74825</v>
      </c>
      <c r="E28" s="37" t="s">
        <v>70</v>
      </c>
      <c r="F28" s="36">
        <f t="shared" ref="F28:F35" si="4">SUM(B28,D28)</f>
        <v>36181.13466</v>
      </c>
      <c r="G28" s="38" t="s">
        <v>70</v>
      </c>
    </row>
    <row r="29" ht="15.75" customHeight="1">
      <c r="A29" s="35" t="s">
        <v>71</v>
      </c>
      <c r="B29" s="36">
        <f>SUM('Dílčí výpočet I.Zdravotní nákla'!M24,'Dílčí výpočty II.Farmakoterapie'!B17)/1000000</f>
        <v>9575.28958</v>
      </c>
      <c r="C29" s="36">
        <f t="shared" ref="C29:C30" si="5">(B29/$B$28-1)*100</f>
        <v>-26.64516865</v>
      </c>
      <c r="D29" s="39">
        <f>SUM('Dílčí výpočty III.Absenteismus'!C7,'Dílčí výpočty IV. Prezenteismus'!C11,'Dílčí výpočty V.PÚ - ušlý zisk'!D8)/1000000</f>
        <v>18970.56722</v>
      </c>
      <c r="E29" s="36">
        <f t="shared" ref="E29:E35" si="6">(D29/$D$28-1)*100</f>
        <v>-17.97486286</v>
      </c>
      <c r="F29" s="36">
        <f t="shared" si="4"/>
        <v>28545.8568</v>
      </c>
      <c r="G29" s="40">
        <f t="shared" ref="G29:G35" si="7">(F29/$F$28-1)*100</f>
        <v>-21.10292539</v>
      </c>
    </row>
    <row r="30" ht="15.75" customHeight="1">
      <c r="A30" s="35" t="s">
        <v>72</v>
      </c>
      <c r="B30" s="36">
        <f>SUM('Dílčí výpočet I.Zdravotní nákla'!Q24,'Dílčí výpočty II.Farmakoterapie'!B19)/1000000</f>
        <v>17241.03665</v>
      </c>
      <c r="C30" s="36">
        <f t="shared" si="5"/>
        <v>32.08094915</v>
      </c>
      <c r="D30" s="36">
        <f>SUM('Dílčí výpočty III.Absenteismus'!H7,'Dílčí výpočty IV. Prezenteismus'!C11,'Dílčí výpočty V.PÚ - ušlý zisk'!M8)/1000000</f>
        <v>28562.61349</v>
      </c>
      <c r="E30" s="36">
        <f t="shared" si="6"/>
        <v>23.49932717</v>
      </c>
      <c r="F30" s="36">
        <f t="shared" si="4"/>
        <v>45803.65014</v>
      </c>
      <c r="G30" s="40">
        <f t="shared" si="7"/>
        <v>26.59539446</v>
      </c>
    </row>
    <row r="31" ht="15.75" customHeight="1">
      <c r="A31" s="35" t="s">
        <v>73</v>
      </c>
      <c r="B31" s="36">
        <f>SUM(B5:B6)/1000000</f>
        <v>13053.3864</v>
      </c>
      <c r="C31" s="37" t="s">
        <v>70</v>
      </c>
      <c r="D31" s="36">
        <f>SUM('Dílčí výpočty III.Absenteismus'!F7,'Dílčí výpočty IV. Prezenteismus'!C11,'Dílčí výpočty V.PÚ - ušlý zisk'!F8)/1000000</f>
        <v>24090.2274</v>
      </c>
      <c r="E31" s="36">
        <f t="shared" si="6"/>
        <v>4.16157741</v>
      </c>
      <c r="F31" s="36">
        <f t="shared" si="4"/>
        <v>37143.6138</v>
      </c>
      <c r="G31" s="40">
        <f t="shared" si="7"/>
        <v>2.660168499</v>
      </c>
    </row>
    <row r="32" ht="15.75" customHeight="1">
      <c r="A32" s="35" t="s">
        <v>74</v>
      </c>
      <c r="B32" s="36">
        <f>SUM(B5:B6)/1000000</f>
        <v>13053.3864</v>
      </c>
      <c r="C32" s="37" t="s">
        <v>70</v>
      </c>
      <c r="D32" s="36">
        <f>SUM('Dílčí výpočty III.Absenteismus'!F7,'Dílčí výpočty IV. Prezenteismus'!C11,'Dílčí výpočty V.PÚ - ušlý zisk'!H8)/1000000</f>
        <v>22358.09189</v>
      </c>
      <c r="E32" s="36">
        <f t="shared" si="6"/>
        <v>-3.327848264</v>
      </c>
      <c r="F32" s="36">
        <f t="shared" si="4"/>
        <v>35411.47829</v>
      </c>
      <c r="G32" s="40">
        <f t="shared" si="7"/>
        <v>-2.127231155</v>
      </c>
    </row>
    <row r="33" ht="15.75" customHeight="1">
      <c r="A33" s="35" t="s">
        <v>75</v>
      </c>
      <c r="B33" s="36">
        <f>SUM(B5:B6)/1000000</f>
        <v>13053.3864</v>
      </c>
      <c r="C33" s="37" t="s">
        <v>70</v>
      </c>
      <c r="D33" s="36">
        <f>SUM('Dílčí výpočty III.Absenteismus'!E7,'Dílčí výpočty IV. Prezenteismus'!F11,'Dílčí výpočty V.PÚ - ušlý zisk'!J8)/1000000</f>
        <v>15971.35836</v>
      </c>
      <c r="E33" s="36">
        <f t="shared" si="6"/>
        <v>-30.94287355</v>
      </c>
      <c r="F33" s="36">
        <f t="shared" si="4"/>
        <v>29024.74476</v>
      </c>
      <c r="G33" s="40">
        <f t="shared" si="7"/>
        <v>-19.77934071</v>
      </c>
    </row>
    <row r="34" ht="15.75" customHeight="1">
      <c r="A34" s="35" t="s">
        <v>76</v>
      </c>
      <c r="B34" s="36">
        <f>SUM(B5:B6)/1000000</f>
        <v>13053.3864</v>
      </c>
      <c r="C34" s="37" t="s">
        <v>70</v>
      </c>
      <c r="D34" s="36">
        <f>SUM('Dílčí výpočty III.Absenteismus'!F7,'Dílčí výpočty IV. Prezenteismus'!B11,'Dílčí výpočty V.PÚ - ušlý zisk'!G8)/1000000</f>
        <v>19969.52105</v>
      </c>
      <c r="E34" s="36">
        <f t="shared" si="6"/>
        <v>-13.65557587</v>
      </c>
      <c r="F34" s="36">
        <f t="shared" si="4"/>
        <v>33022.90745</v>
      </c>
      <c r="G34" s="40">
        <f t="shared" si="7"/>
        <v>-8.72893357</v>
      </c>
    </row>
    <row r="35" ht="15.75" customHeight="1">
      <c r="A35" s="41" t="s">
        <v>77</v>
      </c>
      <c r="B35" s="42">
        <f>SUM(B5:B6)/1000000</f>
        <v>13053.3864</v>
      </c>
      <c r="C35" s="43" t="s">
        <v>70</v>
      </c>
      <c r="D35" s="42">
        <f>SUM('Dílčí výpočty III.Absenteismus'!F7,'Dílčí výpočty IV. Prezenteismus'!D11,'Dílčí výpočty V.PÚ - ušlý zisk'!G8)/1000000</f>
        <v>26285.97546</v>
      </c>
      <c r="E35" s="42">
        <f t="shared" si="6"/>
        <v>13.65557587</v>
      </c>
      <c r="F35" s="42">
        <f t="shared" si="4"/>
        <v>39339.36186</v>
      </c>
      <c r="G35" s="44">
        <f t="shared" si="7"/>
        <v>8.72893357</v>
      </c>
    </row>
    <row r="36" ht="15.75" customHeight="1"/>
    <row r="37" ht="15.75" customHeight="1">
      <c r="A37" s="14"/>
      <c r="B37" s="45" t="s">
        <v>78</v>
      </c>
      <c r="C37" s="46" t="s">
        <v>79</v>
      </c>
      <c r="F37" s="14"/>
    </row>
    <row r="38" ht="15.75" customHeight="1">
      <c r="A38" s="14" t="s">
        <v>80</v>
      </c>
      <c r="B38" s="24">
        <v>3344718.0</v>
      </c>
      <c r="C38" s="47">
        <f>B38*'Pomocná data I. Odhady prevalen'!J19</f>
        <v>0</v>
      </c>
      <c r="F38" s="14"/>
    </row>
    <row r="39" ht="15.75" customHeight="1">
      <c r="A39" s="14" t="s">
        <v>81</v>
      </c>
      <c r="B39" s="24">
        <v>3460500.0</v>
      </c>
      <c r="C39" s="47">
        <f>B39*'Pomocná data I. Odhady prevalen'!I19</f>
        <v>0</v>
      </c>
      <c r="F39" s="14"/>
    </row>
    <row r="40" ht="15.75" customHeight="1">
      <c r="F40" s="14"/>
    </row>
    <row r="41" ht="15.75" customHeight="1">
      <c r="F41" s="14"/>
    </row>
    <row r="42" ht="15.75" customHeight="1">
      <c r="F42" s="14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conditionalFormatting sqref="H1 E12:E26 D14 G16:J20 F19:F20 F23:J25 F27:F35 F37:F1000">
    <cfRule type="cellIs" dxfId="0" priority="1" operator="equal">
      <formula>"WAITING FOR VALIDATION"</formula>
    </cfRule>
  </conditionalFormatting>
  <printOptions/>
  <pageMargins bottom="0.787401575" footer="0.0" header="0.0" left="0.7" right="0.7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1.25"/>
    <col customWidth="1" min="2" max="2" width="24.63"/>
    <col customWidth="1" min="3" max="3" width="18.13"/>
    <col customWidth="1" min="4" max="4" width="8.88"/>
    <col customWidth="1" min="5" max="5" width="17.38"/>
    <col customWidth="1" min="6" max="6" width="7.13"/>
    <col customWidth="1" min="7" max="7" width="10.38"/>
    <col customWidth="1" min="8" max="8" width="11.25"/>
    <col customWidth="1" min="9" max="9" width="13.25"/>
    <col customWidth="1" min="10" max="10" width="9.75"/>
    <col customWidth="1" min="11" max="26" width="11.25"/>
  </cols>
  <sheetData>
    <row r="1" ht="15.75" customHeight="1"/>
    <row r="2" ht="15.75" customHeight="1">
      <c r="B2" s="13" t="s">
        <v>82</v>
      </c>
    </row>
    <row r="3" ht="15.75" customHeight="1">
      <c r="B3" s="48"/>
      <c r="C3" s="49" t="s">
        <v>83</v>
      </c>
      <c r="D3" s="49" t="s">
        <v>84</v>
      </c>
      <c r="E3" s="49" t="s">
        <v>85</v>
      </c>
      <c r="F3" s="50" t="s">
        <v>86</v>
      </c>
      <c r="G3" s="49" t="s">
        <v>87</v>
      </c>
      <c r="H3" s="49" t="s">
        <v>88</v>
      </c>
      <c r="I3" s="49" t="s">
        <v>89</v>
      </c>
      <c r="J3" s="50" t="s">
        <v>90</v>
      </c>
    </row>
    <row r="4" ht="20.25" customHeight="1">
      <c r="B4" s="51"/>
      <c r="C4" s="51"/>
      <c r="D4" s="51"/>
      <c r="E4" s="51"/>
      <c r="F4" s="51"/>
      <c r="G4" s="51"/>
      <c r="H4" s="51"/>
      <c r="I4" s="51"/>
      <c r="J4" s="51"/>
      <c r="K4" s="14" t="s">
        <v>91</v>
      </c>
    </row>
    <row r="5" ht="15.75" customHeight="1">
      <c r="B5" s="52" t="str">
        <f>HYPERLINK("https://www.ncbi.nlm.nih.gov/pubmed/25542741","An, 2015")</f>
        <v>An, 2015</v>
      </c>
      <c r="C5" s="53" t="s">
        <v>92</v>
      </c>
      <c r="D5" s="53" t="s">
        <v>93</v>
      </c>
      <c r="E5" s="54" t="s">
        <v>94</v>
      </c>
      <c r="F5" s="53" t="s">
        <v>95</v>
      </c>
      <c r="G5" s="53" t="s">
        <v>96</v>
      </c>
      <c r="H5" s="55">
        <v>5090.0</v>
      </c>
      <c r="I5" s="55">
        <v>6899.0</v>
      </c>
      <c r="J5" s="53" t="s">
        <v>95</v>
      </c>
    </row>
    <row r="6" ht="15.75" customHeight="1">
      <c r="B6" s="56" t="str">
        <f>HYPERLINK("https://www.ncbi.nlm.nih.gov/pubmed/15685247","Arterburn et al., 2005")</f>
        <v>Arterburn et al., 2005</v>
      </c>
      <c r="C6" s="54" t="s">
        <v>92</v>
      </c>
      <c r="D6" s="54">
        <v>2000.0</v>
      </c>
      <c r="E6" s="54" t="s">
        <v>94</v>
      </c>
      <c r="F6" s="54" t="s">
        <v>95</v>
      </c>
      <c r="G6" s="54" t="s">
        <v>96</v>
      </c>
      <c r="H6" s="57">
        <v>346.0</v>
      </c>
      <c r="I6" s="58" t="s">
        <v>97</v>
      </c>
      <c r="J6" s="54" t="s">
        <v>95</v>
      </c>
      <c r="K6" s="14" t="s">
        <v>98</v>
      </c>
    </row>
    <row r="7" ht="15.75" customHeight="1">
      <c r="B7" s="52" t="str">
        <f>HYPERLINK("https://www.ncbi.nlm.nih.gov/pubmed/16176494","Borg et al., 2005")</f>
        <v>Borg et al., 2005</v>
      </c>
      <c r="C7" s="53" t="s">
        <v>99</v>
      </c>
      <c r="D7" s="53" t="s">
        <v>100</v>
      </c>
      <c r="E7" s="54" t="s">
        <v>94</v>
      </c>
      <c r="F7" s="53" t="s">
        <v>95</v>
      </c>
      <c r="G7" s="53" t="s">
        <v>101</v>
      </c>
      <c r="H7" s="59" t="s">
        <v>102</v>
      </c>
      <c r="I7" s="10"/>
      <c r="J7" s="53" t="s">
        <v>103</v>
      </c>
    </row>
    <row r="8" ht="15.75" customHeight="1">
      <c r="B8" s="60" t="str">
        <f>HYPERLINK("https://www.ncbi.nlm.nih.gov/pubmed/22094013","Cawley et al., 2012")</f>
        <v>Cawley et al., 2012</v>
      </c>
      <c r="C8" s="53" t="s">
        <v>92</v>
      </c>
      <c r="D8" s="53" t="s">
        <v>104</v>
      </c>
      <c r="E8" s="54" t="s">
        <v>94</v>
      </c>
      <c r="F8" s="53" t="s">
        <v>95</v>
      </c>
      <c r="G8" s="53" t="s">
        <v>105</v>
      </c>
      <c r="H8" s="53" t="s">
        <v>95</v>
      </c>
      <c r="I8" s="55">
        <v>2741.0</v>
      </c>
      <c r="J8" s="53" t="s">
        <v>106</v>
      </c>
    </row>
    <row r="9" ht="15.75" customHeight="1">
      <c r="B9" s="61" t="str">
        <f>HYPERLINK("https://bmjopen.bmj.com/content/5/3/e006189#T2","Dee et al., 2015")</f>
        <v>Dee et al., 2015</v>
      </c>
      <c r="C9" s="62" t="s">
        <v>107</v>
      </c>
      <c r="D9" s="63">
        <v>2009.0</v>
      </c>
      <c r="E9" s="64" t="s">
        <v>108</v>
      </c>
      <c r="F9" s="63">
        <v>16.0</v>
      </c>
      <c r="G9" s="63" t="s">
        <v>109</v>
      </c>
      <c r="H9" s="65" t="s">
        <v>110</v>
      </c>
      <c r="I9" s="10"/>
      <c r="J9" s="62" t="s">
        <v>95</v>
      </c>
    </row>
    <row r="10" ht="15.75" customHeight="1">
      <c r="B10" s="51"/>
      <c r="C10" s="62" t="s">
        <v>111</v>
      </c>
      <c r="D10" s="51"/>
      <c r="E10" s="51"/>
      <c r="F10" s="51"/>
      <c r="G10" s="51"/>
      <c r="H10" s="65" t="s">
        <v>112</v>
      </c>
      <c r="I10" s="10"/>
      <c r="J10" s="62" t="s">
        <v>95</v>
      </c>
    </row>
    <row r="11" ht="15.75" customHeight="1">
      <c r="B11" s="52" t="str">
        <f>HYPERLINK("https://www.ncbi.nlm.nih.gov/pubmed/26701837","Effertz et al., 2016")</f>
        <v>Effertz et al., 2016</v>
      </c>
      <c r="C11" s="53" t="s">
        <v>113</v>
      </c>
      <c r="D11" s="53" t="s">
        <v>114</v>
      </c>
      <c r="E11" s="54" t="s">
        <v>115</v>
      </c>
      <c r="F11" s="53" t="s">
        <v>95</v>
      </c>
      <c r="G11" s="53" t="s">
        <v>116</v>
      </c>
      <c r="H11" s="53" t="s">
        <v>95</v>
      </c>
      <c r="I11" s="53" t="s">
        <v>117</v>
      </c>
      <c r="J11" s="53" t="s">
        <v>95</v>
      </c>
    </row>
    <row r="12" ht="15.75" customHeight="1">
      <c r="B12" s="66" t="str">
        <f>HYPERLINK("https://www.ncbi.nlm.nih.gov/pubmed/16171161","Finkelstein et al. 2005")</f>
        <v>Finkelstein et al. 2005</v>
      </c>
      <c r="C12" s="63" t="s">
        <v>92</v>
      </c>
      <c r="D12" s="63" t="s">
        <v>118</v>
      </c>
      <c r="E12" s="64" t="s">
        <v>94</v>
      </c>
      <c r="F12" s="64" t="s">
        <v>95</v>
      </c>
      <c r="G12" s="62" t="s">
        <v>119</v>
      </c>
      <c r="H12" s="67">
        <v>495.0</v>
      </c>
      <c r="I12" s="55" t="s">
        <v>120</v>
      </c>
      <c r="J12" s="64" t="s">
        <v>95</v>
      </c>
      <c r="K12" s="14" t="s">
        <v>121</v>
      </c>
    </row>
    <row r="13" ht="15.75" customHeight="1">
      <c r="B13" s="51"/>
      <c r="C13" s="51"/>
      <c r="D13" s="51"/>
      <c r="E13" s="51"/>
      <c r="F13" s="51"/>
      <c r="G13" s="62" t="s">
        <v>122</v>
      </c>
      <c r="H13" s="67">
        <v>169.0</v>
      </c>
      <c r="I13" s="62" t="s">
        <v>123</v>
      </c>
      <c r="J13" s="51"/>
      <c r="K13" s="14" t="s">
        <v>124</v>
      </c>
    </row>
    <row r="14" ht="15.75" customHeight="1">
      <c r="B14" s="52" t="str">
        <f>HYPERLINK("https://www.ncbi.nlm.nih.gov/pmc/articles/PMC3230011/","Kang et al., 2011")</f>
        <v>Kang et al., 2011</v>
      </c>
      <c r="C14" s="53" t="s">
        <v>125</v>
      </c>
      <c r="D14" s="53">
        <v>2005.0</v>
      </c>
      <c r="E14" s="54" t="s">
        <v>108</v>
      </c>
      <c r="F14" s="53">
        <v>7.0</v>
      </c>
      <c r="G14" s="53" t="s">
        <v>126</v>
      </c>
      <c r="H14" s="53" t="s">
        <v>127</v>
      </c>
      <c r="I14" s="53" t="s">
        <v>128</v>
      </c>
      <c r="J14" s="53" t="s">
        <v>129</v>
      </c>
      <c r="K14" s="14" t="s">
        <v>130</v>
      </c>
    </row>
    <row r="15" ht="15.75" customHeight="1">
      <c r="B15" s="61" t="str">
        <f>HYPERLINK("https://www.ncbi.nlm.nih.gov/pubmed/24451611","Kleinman et al., 2014")</f>
        <v>Kleinman et al., 2014</v>
      </c>
      <c r="C15" s="63" t="s">
        <v>92</v>
      </c>
      <c r="D15" s="63" t="s">
        <v>131</v>
      </c>
      <c r="E15" s="64" t="s">
        <v>94</v>
      </c>
      <c r="F15" s="64" t="s">
        <v>95</v>
      </c>
      <c r="G15" s="62" t="s">
        <v>132</v>
      </c>
      <c r="H15" s="67">
        <v>4142.0</v>
      </c>
      <c r="I15" s="67">
        <v>6328.0</v>
      </c>
      <c r="J15" s="64" t="s">
        <v>95</v>
      </c>
    </row>
    <row r="16" ht="15.75" customHeight="1">
      <c r="B16" s="51"/>
      <c r="C16" s="51"/>
      <c r="D16" s="51"/>
      <c r="E16" s="51"/>
      <c r="F16" s="51"/>
      <c r="G16" s="62" t="s">
        <v>133</v>
      </c>
      <c r="H16" s="67">
        <v>2861.0</v>
      </c>
      <c r="I16" s="67">
        <v>4309.0</v>
      </c>
      <c r="J16" s="51"/>
    </row>
    <row r="17" ht="15.75" customHeight="1">
      <c r="B17" s="52" t="str">
        <f>HYPERLINK("https://www.ncbi.nlm.nih.gov/pubmed/20401679","Konnopka et al., 2011")</f>
        <v>Konnopka et al., 2011</v>
      </c>
      <c r="C17" s="53" t="s">
        <v>113</v>
      </c>
      <c r="D17" s="53">
        <v>2002.0</v>
      </c>
      <c r="E17" s="54" t="s">
        <v>108</v>
      </c>
      <c r="F17" s="53">
        <v>20.0</v>
      </c>
      <c r="G17" s="53" t="s">
        <v>96</v>
      </c>
      <c r="H17" s="68" t="s">
        <v>134</v>
      </c>
      <c r="I17" s="10"/>
      <c r="J17" s="53" t="s">
        <v>135</v>
      </c>
      <c r="K17" s="14" t="s">
        <v>136</v>
      </c>
    </row>
    <row r="18" ht="15.75" customHeight="1">
      <c r="A18" s="69"/>
      <c r="B18" s="52" t="str">
        <f>HYPERLINK("https://www.ncbi.nlm.nih.gov/pubmed/26285186","Kruger et al., 2015")</f>
        <v>Kruger et al., 2015</v>
      </c>
      <c r="C18" s="53" t="s">
        <v>137</v>
      </c>
      <c r="D18" s="53">
        <v>2013.0</v>
      </c>
      <c r="E18" s="54" t="s">
        <v>108</v>
      </c>
      <c r="F18" s="53" t="s">
        <v>138</v>
      </c>
      <c r="G18" s="53" t="s">
        <v>139</v>
      </c>
      <c r="H18" s="53" t="s">
        <v>140</v>
      </c>
      <c r="I18" s="53" t="s">
        <v>141</v>
      </c>
      <c r="J18" s="53" t="s">
        <v>95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ht="15.75" customHeight="1">
      <c r="B19" s="61" t="str">
        <f>HYPERLINK("https://www.ncbi.nlm.nih.gov/pubmed/25381038","Lehnert et al., 2015")</f>
        <v>Lehnert et al., 2015</v>
      </c>
      <c r="C19" s="63" t="s">
        <v>113</v>
      </c>
      <c r="D19" s="63">
        <v>2008.0</v>
      </c>
      <c r="E19" s="64" t="s">
        <v>108</v>
      </c>
      <c r="F19" s="63">
        <v>20.0</v>
      </c>
      <c r="G19" s="63" t="s">
        <v>96</v>
      </c>
      <c r="H19" s="70" t="s">
        <v>142</v>
      </c>
      <c r="I19" s="71"/>
      <c r="J19" s="63" t="s">
        <v>143</v>
      </c>
    </row>
    <row r="20" ht="15.75" customHeight="1">
      <c r="B20" s="51"/>
      <c r="C20" s="51"/>
      <c r="D20" s="51"/>
      <c r="E20" s="51"/>
      <c r="F20" s="51"/>
      <c r="G20" s="51"/>
      <c r="H20" s="72"/>
      <c r="I20" s="73"/>
      <c r="J20" s="51"/>
    </row>
    <row r="21" ht="15.75" customHeight="1">
      <c r="B21" s="74" t="str">
        <f>HYPERLINK("https://link.springer.com/article/10.1007/s00038-004-4067-x","Schmid et al., 2004")</f>
        <v>Schmid et al., 2004</v>
      </c>
      <c r="C21" s="53" t="s">
        <v>144</v>
      </c>
      <c r="D21" s="53">
        <v>2001.0</v>
      </c>
      <c r="E21" s="54" t="s">
        <v>108</v>
      </c>
      <c r="F21" s="53">
        <v>18.0</v>
      </c>
      <c r="G21" s="53" t="s">
        <v>116</v>
      </c>
      <c r="H21" s="53" t="s">
        <v>95</v>
      </c>
      <c r="I21" s="53" t="s">
        <v>145</v>
      </c>
      <c r="J21" s="53" t="s">
        <v>146</v>
      </c>
      <c r="K21" s="14" t="s">
        <v>147</v>
      </c>
    </row>
    <row r="22" ht="15.75" customHeight="1">
      <c r="B22" s="75" t="str">
        <f>HYPERLINK("https://www.researchgate.net/profile/Beate_Sander/publication/8121260_Economic_burden_of_obesity_and_its_complications_in_Germany/links/00b4952024843b961a000000/Economic-burden-of-obesity-and-its-complications-in-Germany.pdf","Sander &amp; Bergemann 2003")</f>
        <v>Sander &amp; Bergemann 2003</v>
      </c>
      <c r="C22" s="53" t="s">
        <v>113</v>
      </c>
      <c r="D22" s="53">
        <v>1998.0</v>
      </c>
      <c r="E22" s="54" t="s">
        <v>108</v>
      </c>
      <c r="F22" s="53">
        <v>4.0</v>
      </c>
      <c r="G22" s="53" t="s">
        <v>148</v>
      </c>
      <c r="H22" s="53" t="s">
        <v>95</v>
      </c>
      <c r="I22" s="53" t="s">
        <v>149</v>
      </c>
      <c r="J22" s="53" t="s">
        <v>95</v>
      </c>
      <c r="K22" s="14" t="s">
        <v>150</v>
      </c>
    </row>
    <row r="23" ht="15.75" customHeight="1">
      <c r="B23" s="76"/>
      <c r="C23" s="77"/>
      <c r="D23" s="77"/>
      <c r="E23" s="78"/>
      <c r="F23" s="78"/>
      <c r="G23" s="79"/>
      <c r="H23" s="80"/>
      <c r="I23" s="81"/>
      <c r="J23" s="78"/>
    </row>
    <row r="24" ht="15.75" customHeight="1">
      <c r="B24" s="76"/>
      <c r="G24" s="79"/>
      <c r="H24" s="80"/>
      <c r="I24" s="79"/>
    </row>
    <row r="25" ht="15.75" customHeight="1"/>
    <row r="26" ht="15.75" customHeight="1">
      <c r="B26" s="13" t="s">
        <v>151</v>
      </c>
    </row>
    <row r="27" ht="15.75" customHeight="1">
      <c r="B27" s="48"/>
      <c r="C27" s="49" t="s">
        <v>83</v>
      </c>
      <c r="D27" s="49" t="s">
        <v>84</v>
      </c>
      <c r="E27" s="49" t="s">
        <v>152</v>
      </c>
      <c r="F27" s="49" t="s">
        <v>87</v>
      </c>
      <c r="G27" s="49" t="s">
        <v>88</v>
      </c>
      <c r="H27" s="49" t="s">
        <v>89</v>
      </c>
    </row>
    <row r="28" ht="15.75" customHeight="1">
      <c r="B28" s="51"/>
      <c r="C28" s="51"/>
      <c r="D28" s="51"/>
      <c r="E28" s="51"/>
      <c r="F28" s="51"/>
      <c r="G28" s="51"/>
      <c r="H28" s="51"/>
    </row>
    <row r="29" ht="15.75" customHeight="1">
      <c r="B29" s="61" t="str">
        <f>HYPERLINK("https://www.ncbi.nlm.nih.gov/pubmed/19601482","Dall et al., 2009")</f>
        <v>Dall et al., 2009</v>
      </c>
      <c r="C29" s="63" t="s">
        <v>92</v>
      </c>
      <c r="D29" s="63" t="s">
        <v>95</v>
      </c>
      <c r="E29" s="54" t="s">
        <v>153</v>
      </c>
      <c r="F29" s="63" t="s">
        <v>96</v>
      </c>
      <c r="G29" s="55">
        <v>47.0</v>
      </c>
      <c r="H29" s="55" t="s">
        <v>154</v>
      </c>
    </row>
    <row r="30" ht="15.75" customHeight="1">
      <c r="B30" s="51"/>
      <c r="C30" s="51"/>
      <c r="D30" s="51"/>
      <c r="E30" s="54" t="s">
        <v>155</v>
      </c>
      <c r="F30" s="51"/>
      <c r="G30" s="53" t="s">
        <v>156</v>
      </c>
      <c r="H30" s="53" t="s">
        <v>157</v>
      </c>
      <c r="I30" s="14" t="s">
        <v>158</v>
      </c>
    </row>
    <row r="31" ht="15.75" customHeight="1">
      <c r="B31" s="61" t="str">
        <f>HYPERLINK("https://bmjopen.bmj.com/content/5/3/e006189#T2","Dee et al., 2015")</f>
        <v>Dee et al., 2015</v>
      </c>
      <c r="C31" s="62" t="s">
        <v>107</v>
      </c>
      <c r="D31" s="63">
        <v>2009.0</v>
      </c>
      <c r="E31" s="62" t="s">
        <v>159</v>
      </c>
      <c r="F31" s="63" t="s">
        <v>109</v>
      </c>
      <c r="G31" s="82" t="s">
        <v>160</v>
      </c>
      <c r="H31" s="10"/>
    </row>
    <row r="32" ht="15.75" customHeight="1">
      <c r="B32" s="51"/>
      <c r="C32" s="62" t="s">
        <v>111</v>
      </c>
      <c r="D32" s="51"/>
      <c r="E32" s="62" t="s">
        <v>161</v>
      </c>
      <c r="F32" s="51"/>
      <c r="G32" s="83" t="s">
        <v>162</v>
      </c>
      <c r="H32" s="10"/>
    </row>
    <row r="33" ht="15.75" customHeight="1">
      <c r="B33" s="60" t="str">
        <f>HYPERLINK("https://www.ncbi.nlm.nih.gov/pubmed/26701837","Effertz et al., 2016")</f>
        <v>Effertz et al., 2016</v>
      </c>
      <c r="C33" s="62" t="s">
        <v>113</v>
      </c>
      <c r="D33" s="62" t="s">
        <v>114</v>
      </c>
      <c r="E33" s="62" t="s">
        <v>159</v>
      </c>
      <c r="F33" s="62" t="s">
        <v>116</v>
      </c>
      <c r="G33" s="62" t="s">
        <v>95</v>
      </c>
      <c r="H33" s="62" t="s">
        <v>163</v>
      </c>
    </row>
    <row r="34" ht="15.75" customHeight="1">
      <c r="B34" s="84" t="str">
        <f>HYPERLINK("https://www.ncbi.nlm.nih.gov/pubmed/16171161","Finkelstein et al. 2005")</f>
        <v>Finkelstein et al. 2005</v>
      </c>
      <c r="C34" s="63" t="s">
        <v>92</v>
      </c>
      <c r="D34" s="63" t="s">
        <v>118</v>
      </c>
      <c r="E34" s="62" t="s">
        <v>153</v>
      </c>
      <c r="F34" s="63" t="s">
        <v>119</v>
      </c>
      <c r="G34" s="67">
        <v>93.0</v>
      </c>
      <c r="H34" s="62" t="s">
        <v>164</v>
      </c>
      <c r="I34" s="14"/>
    </row>
    <row r="35" ht="15.75" customHeight="1">
      <c r="B35" s="85"/>
      <c r="C35" s="85"/>
      <c r="D35" s="85"/>
      <c r="E35" s="62" t="s">
        <v>165</v>
      </c>
      <c r="F35" s="51"/>
      <c r="G35" s="62">
        <v>3.4</v>
      </c>
      <c r="H35" s="62" t="s">
        <v>166</v>
      </c>
      <c r="I35" s="14"/>
    </row>
    <row r="36" ht="15.75" customHeight="1">
      <c r="B36" s="85"/>
      <c r="C36" s="85"/>
      <c r="D36" s="85"/>
      <c r="E36" s="62" t="s">
        <v>153</v>
      </c>
      <c r="F36" s="63" t="s">
        <v>122</v>
      </c>
      <c r="G36" s="67">
        <v>6.0</v>
      </c>
      <c r="H36" s="62" t="s">
        <v>167</v>
      </c>
      <c r="I36" s="14"/>
    </row>
    <row r="37" ht="15.75" customHeight="1">
      <c r="B37" s="51"/>
      <c r="C37" s="51"/>
      <c r="D37" s="51"/>
      <c r="E37" s="62" t="s">
        <v>165</v>
      </c>
      <c r="F37" s="51"/>
      <c r="G37" s="62">
        <v>3.0</v>
      </c>
      <c r="H37" s="62" t="s">
        <v>168</v>
      </c>
      <c r="I37" s="14"/>
    </row>
    <row r="38" ht="15.75" customHeight="1">
      <c r="B38" s="60" t="str">
        <f>HYPERLINK("https://www.ncbi.nlm.nih.gov/pmc/articles/PMC3230011/","Kang et al., 2011")</f>
        <v>Kang et al., 2011</v>
      </c>
      <c r="C38" s="62" t="s">
        <v>125</v>
      </c>
      <c r="D38" s="62">
        <v>2005.0</v>
      </c>
      <c r="E38" s="62" t="s">
        <v>155</v>
      </c>
      <c r="F38" s="62" t="s">
        <v>126</v>
      </c>
      <c r="G38" s="82" t="s">
        <v>169</v>
      </c>
      <c r="H38" s="10"/>
      <c r="I38" s="14" t="s">
        <v>170</v>
      </c>
    </row>
    <row r="39" ht="15.75" customHeight="1">
      <c r="B39" s="84" t="str">
        <f>HYPERLINK("https://www.ncbi.nlm.nih.gov/pubmed/24451611","Kleinman et al., 2014")</f>
        <v>Kleinman et al., 2014</v>
      </c>
      <c r="C39" s="63" t="s">
        <v>92</v>
      </c>
      <c r="D39" s="63" t="s">
        <v>131</v>
      </c>
      <c r="E39" s="62" t="s">
        <v>153</v>
      </c>
      <c r="F39" s="63" t="s">
        <v>132</v>
      </c>
      <c r="G39" s="67" t="s">
        <v>171</v>
      </c>
      <c r="H39" s="67">
        <v>1175.0</v>
      </c>
      <c r="I39" s="14" t="s">
        <v>172</v>
      </c>
    </row>
    <row r="40" ht="15.75" customHeight="1">
      <c r="B40" s="85"/>
      <c r="C40" s="85"/>
      <c r="D40" s="85"/>
      <c r="E40" s="62" t="s">
        <v>165</v>
      </c>
      <c r="F40" s="51"/>
      <c r="G40" s="62">
        <v>4.09</v>
      </c>
      <c r="H40" s="62">
        <v>5.81</v>
      </c>
    </row>
    <row r="41" ht="15.75" customHeight="1">
      <c r="B41" s="85"/>
      <c r="C41" s="85"/>
      <c r="D41" s="85"/>
      <c r="E41" s="62" t="s">
        <v>153</v>
      </c>
      <c r="F41" s="63" t="s">
        <v>133</v>
      </c>
      <c r="G41" s="67" t="s">
        <v>173</v>
      </c>
      <c r="H41" s="67">
        <v>792.0</v>
      </c>
    </row>
    <row r="42" ht="15.75" customHeight="1">
      <c r="B42" s="51"/>
      <c r="C42" s="51"/>
      <c r="D42" s="51"/>
      <c r="E42" s="62" t="s">
        <v>165</v>
      </c>
      <c r="F42" s="51"/>
      <c r="G42" s="62">
        <v>2.66</v>
      </c>
      <c r="H42" s="62">
        <v>3.7</v>
      </c>
    </row>
    <row r="43" ht="15.75" customHeight="1">
      <c r="B43" s="84" t="str">
        <f>HYPERLINK("https://www.ncbi.nlm.nih.gov/pubmed/20401679","Konnopka et al., 2011")</f>
        <v>Konnopka et al., 2011</v>
      </c>
      <c r="C43" s="63" t="s">
        <v>113</v>
      </c>
      <c r="D43" s="63">
        <v>2002.0</v>
      </c>
      <c r="E43" s="62" t="s">
        <v>174</v>
      </c>
      <c r="F43" s="63" t="s">
        <v>175</v>
      </c>
      <c r="G43" s="82" t="s">
        <v>176</v>
      </c>
      <c r="H43" s="10"/>
    </row>
    <row r="44" ht="15.75" customHeight="1">
      <c r="B44" s="51"/>
      <c r="C44" s="51"/>
      <c r="D44" s="51"/>
      <c r="E44" s="62" t="s">
        <v>159</v>
      </c>
      <c r="F44" s="51"/>
      <c r="G44" s="82" t="s">
        <v>177</v>
      </c>
      <c r="H44" s="10"/>
    </row>
    <row r="45" ht="15.75" customHeight="1">
      <c r="B45" s="84" t="str">
        <f>HYPERLINK("https://www.ncbi.nlm.nih.gov/pubmed/25381038","Lehnert et al., 2015")</f>
        <v>Lehnert et al., 2015</v>
      </c>
      <c r="C45" s="63" t="s">
        <v>113</v>
      </c>
      <c r="D45" s="63">
        <v>2008.0</v>
      </c>
      <c r="E45" s="62" t="s">
        <v>153</v>
      </c>
      <c r="F45" s="63" t="s">
        <v>132</v>
      </c>
      <c r="G45" s="86">
        <v>284.0</v>
      </c>
      <c r="H45" s="86">
        <v>405.0</v>
      </c>
    </row>
    <row r="46" ht="15.75" customHeight="1">
      <c r="B46" s="85"/>
      <c r="C46" s="85"/>
      <c r="D46" s="85"/>
      <c r="E46" s="62" t="s">
        <v>165</v>
      </c>
      <c r="F46" s="51"/>
      <c r="G46" s="62">
        <v>3.64</v>
      </c>
      <c r="H46" s="62">
        <v>5.19</v>
      </c>
    </row>
    <row r="47" ht="15.75" customHeight="1">
      <c r="B47" s="85"/>
      <c r="C47" s="85"/>
      <c r="D47" s="85"/>
      <c r="E47" s="62" t="s">
        <v>153</v>
      </c>
      <c r="F47" s="63" t="s">
        <v>133</v>
      </c>
      <c r="G47" s="62" t="s">
        <v>95</v>
      </c>
      <c r="H47" s="86">
        <v>367.0</v>
      </c>
    </row>
    <row r="48" ht="15.75" customHeight="1">
      <c r="B48" s="85"/>
      <c r="C48" s="85"/>
      <c r="D48" s="85"/>
      <c r="E48" s="62" t="s">
        <v>165</v>
      </c>
      <c r="F48" s="51"/>
      <c r="G48" s="62" t="s">
        <v>95</v>
      </c>
      <c r="H48" s="62">
        <v>3.48</v>
      </c>
    </row>
    <row r="49" ht="15.75" customHeight="1">
      <c r="B49" s="51"/>
      <c r="C49" s="51"/>
      <c r="D49" s="51"/>
      <c r="E49" s="62" t="s">
        <v>159</v>
      </c>
      <c r="F49" s="62" t="s">
        <v>96</v>
      </c>
      <c r="G49" s="82" t="s">
        <v>178</v>
      </c>
      <c r="H49" s="10"/>
    </row>
    <row r="50" ht="15.75" customHeight="1">
      <c r="B50" s="52" t="str">
        <f>HYPERLINK("https://www.ncbi.nlm.nih.gov/pubmed/22827692","Neovius et al., 2012")</f>
        <v>Neovius et al., 2012</v>
      </c>
      <c r="C50" s="53" t="s">
        <v>99</v>
      </c>
      <c r="D50" s="53" t="s">
        <v>179</v>
      </c>
      <c r="E50" s="54" t="s">
        <v>180</v>
      </c>
      <c r="F50" s="53" t="s">
        <v>133</v>
      </c>
      <c r="G50" s="53" t="s">
        <v>181</v>
      </c>
      <c r="H50" s="87" t="s">
        <v>182</v>
      </c>
      <c r="I50" s="14" t="s">
        <v>183</v>
      </c>
    </row>
    <row r="51" ht="15.75" customHeight="1"/>
    <row r="52" ht="15.75" customHeight="1">
      <c r="B52" s="14" t="s">
        <v>184</v>
      </c>
    </row>
    <row r="53" ht="15.75" customHeight="1">
      <c r="B53" s="14" t="s">
        <v>185</v>
      </c>
      <c r="E53" s="88" t="str">
        <f t="shared" ref="E53:E58" si="1">HYPERLINK("https://www.ncbi.nlm.nih.gov/pubmed/18331420","Trogdon, 2008")</f>
        <v>Trogdon, 2008</v>
      </c>
    </row>
    <row r="54" ht="15.75" customHeight="1">
      <c r="B54" s="14" t="s">
        <v>186</v>
      </c>
      <c r="E54" s="88" t="str">
        <f t="shared" si="1"/>
        <v>Trogdon, 2008</v>
      </c>
    </row>
    <row r="55" ht="15.75" customHeight="1">
      <c r="B55" s="14" t="s">
        <v>187</v>
      </c>
      <c r="E55" s="88" t="str">
        <f t="shared" si="1"/>
        <v>Trogdon, 2008</v>
      </c>
    </row>
    <row r="56" ht="15.75" customHeight="1">
      <c r="B56" s="14" t="s">
        <v>188</v>
      </c>
      <c r="E56" s="88" t="str">
        <f t="shared" si="1"/>
        <v>Trogdon, 2008</v>
      </c>
    </row>
    <row r="57" ht="15.75" customHeight="1">
      <c r="B57" s="14" t="s">
        <v>189</v>
      </c>
      <c r="E57" s="88" t="str">
        <f t="shared" si="1"/>
        <v>Trogdon, 2008</v>
      </c>
    </row>
    <row r="58" ht="15.75" customHeight="1">
      <c r="B58" s="14" t="s">
        <v>190</v>
      </c>
      <c r="E58" s="88" t="str">
        <f t="shared" si="1"/>
        <v>Trogdon, 2008</v>
      </c>
    </row>
    <row r="59" ht="15.75" customHeight="1">
      <c r="B59" s="14" t="s">
        <v>191</v>
      </c>
      <c r="E59" s="88" t="str">
        <f>HYPERLINK("https://www.ncbi.nlm.nih.gov/pubmed/25376405","Andreyeva et al., 2014")</f>
        <v>Andreyeva et al., 2014</v>
      </c>
    </row>
    <row r="60" ht="15.75" customHeight="1"/>
    <row r="61" ht="15.75" customHeight="1">
      <c r="B61" s="13" t="s">
        <v>192</v>
      </c>
    </row>
    <row r="62" ht="15.75" customHeight="1">
      <c r="B62" s="48"/>
      <c r="C62" s="49" t="s">
        <v>193</v>
      </c>
      <c r="D62" s="49" t="s">
        <v>83</v>
      </c>
      <c r="E62" s="49" t="s">
        <v>152</v>
      </c>
      <c r="F62" s="49" t="s">
        <v>194</v>
      </c>
      <c r="G62" s="49" t="s">
        <v>195</v>
      </c>
      <c r="H62" s="49" t="s">
        <v>88</v>
      </c>
      <c r="I62" s="89" t="s">
        <v>89</v>
      </c>
      <c r="J62" s="90"/>
      <c r="K62" s="10"/>
      <c r="L62" s="14" t="s">
        <v>91</v>
      </c>
    </row>
    <row r="63" ht="15.75" customHeight="1">
      <c r="B63" s="51"/>
      <c r="C63" s="51"/>
      <c r="D63" s="51"/>
      <c r="E63" s="51"/>
      <c r="F63" s="51"/>
      <c r="G63" s="51"/>
      <c r="H63" s="51"/>
      <c r="I63" s="91" t="s">
        <v>196</v>
      </c>
      <c r="J63" s="91" t="s">
        <v>197</v>
      </c>
      <c r="K63" s="91" t="s">
        <v>198</v>
      </c>
    </row>
    <row r="64" ht="15.75" customHeight="1">
      <c r="B64" s="61" t="str">
        <f>HYPERLINK("https://www.ncbi.nlm.nih.gov/pubmed/15247814","Boles et al., 2004")</f>
        <v>Boles et al., 2004</v>
      </c>
      <c r="C64" s="92">
        <v>2264.0</v>
      </c>
      <c r="D64" s="63" t="s">
        <v>92</v>
      </c>
      <c r="E64" s="62" t="s">
        <v>199</v>
      </c>
      <c r="F64" s="63" t="s">
        <v>200</v>
      </c>
      <c r="G64" s="63" t="s">
        <v>201</v>
      </c>
      <c r="H64" s="82">
        <v>1.45</v>
      </c>
      <c r="I64" s="90"/>
      <c r="J64" s="90"/>
      <c r="K64" s="10"/>
      <c r="L64" s="14" t="s">
        <v>202</v>
      </c>
    </row>
    <row r="65" ht="15.75" customHeight="1">
      <c r="B65" s="51"/>
      <c r="C65" s="51"/>
      <c r="D65" s="51"/>
      <c r="E65" s="62" t="s">
        <v>203</v>
      </c>
      <c r="F65" s="51"/>
      <c r="G65" s="51"/>
      <c r="H65" s="82">
        <v>3.625</v>
      </c>
      <c r="I65" s="90"/>
      <c r="J65" s="90"/>
      <c r="K65" s="10"/>
      <c r="L65" s="14" t="s">
        <v>204</v>
      </c>
    </row>
    <row r="66" ht="15.75" customHeight="1">
      <c r="B66" s="61" t="str">
        <f>HYPERLINK("https://www.researchgate.net/publication/7666313_The_association_of_health_risks_with_on-the-job_productivity","Burton et al., 2005")</f>
        <v>Burton et al., 2005</v>
      </c>
      <c r="C66" s="92">
        <v>28375.0</v>
      </c>
      <c r="D66" s="63" t="s">
        <v>92</v>
      </c>
      <c r="E66" s="62" t="s">
        <v>199</v>
      </c>
      <c r="F66" s="63" t="s">
        <v>200</v>
      </c>
      <c r="G66" s="63" t="s">
        <v>201</v>
      </c>
      <c r="H66" s="62" t="s">
        <v>205</v>
      </c>
      <c r="I66" s="82">
        <v>1.5</v>
      </c>
      <c r="J66" s="90"/>
      <c r="K66" s="10"/>
    </row>
    <row r="67" ht="15.75" customHeight="1">
      <c r="B67" s="51"/>
      <c r="C67" s="51"/>
      <c r="D67" s="51"/>
      <c r="E67" s="62" t="s">
        <v>203</v>
      </c>
      <c r="F67" s="51"/>
      <c r="G67" s="51"/>
      <c r="H67" s="62" t="s">
        <v>205</v>
      </c>
      <c r="I67" s="82">
        <v>3.75</v>
      </c>
      <c r="J67" s="90"/>
      <c r="K67" s="10"/>
      <c r="L67" s="14" t="s">
        <v>204</v>
      </c>
    </row>
    <row r="68" ht="15.75" customHeight="1">
      <c r="B68" s="61" t="str">
        <f>HYPERLINK("https://journals.lww.com/joem/Abstract/2010/10000/The_Costs_of_Obesity_in_the_Workplace.4.aspx","Finkelstein, 2010")</f>
        <v>Finkelstein, 2010</v>
      </c>
      <c r="C68" s="93">
        <v>10262.0</v>
      </c>
      <c r="D68" s="63" t="s">
        <v>92</v>
      </c>
      <c r="E68" s="64" t="s">
        <v>203</v>
      </c>
      <c r="F68" s="62" t="s">
        <v>206</v>
      </c>
      <c r="G68" s="63" t="s">
        <v>201</v>
      </c>
      <c r="H68" s="62" t="s">
        <v>205</v>
      </c>
      <c r="I68" s="62" t="s">
        <v>207</v>
      </c>
      <c r="J68" s="62" t="s">
        <v>208</v>
      </c>
      <c r="K68" s="62" t="s">
        <v>209</v>
      </c>
    </row>
    <row r="69" ht="15.75" customHeight="1">
      <c r="B69" s="51"/>
      <c r="C69" s="93">
        <v>13878.0</v>
      </c>
      <c r="D69" s="51"/>
      <c r="E69" s="51"/>
      <c r="F69" s="62" t="s">
        <v>210</v>
      </c>
      <c r="G69" s="51"/>
      <c r="H69" s="62" t="s">
        <v>205</v>
      </c>
      <c r="I69" s="62" t="s">
        <v>211</v>
      </c>
      <c r="J69" s="62" t="s">
        <v>212</v>
      </c>
      <c r="K69" s="62" t="s">
        <v>213</v>
      </c>
      <c r="L69" s="14"/>
    </row>
    <row r="70" ht="15.75" customHeight="1">
      <c r="B70" s="94" t="s">
        <v>214</v>
      </c>
      <c r="C70" s="93">
        <v>341.0</v>
      </c>
      <c r="D70" s="62" t="s">
        <v>215</v>
      </c>
      <c r="E70" s="62" t="s">
        <v>199</v>
      </c>
      <c r="F70" s="62" t="s">
        <v>200</v>
      </c>
      <c r="G70" s="62">
        <v>3.25</v>
      </c>
      <c r="H70" s="62">
        <v>2.45</v>
      </c>
      <c r="I70" s="82">
        <v>4.16</v>
      </c>
      <c r="J70" s="90"/>
      <c r="K70" s="10"/>
      <c r="L70" s="14" t="s">
        <v>216</v>
      </c>
    </row>
    <row r="71" ht="15.75" customHeight="1">
      <c r="B71" s="95" t="s">
        <v>217</v>
      </c>
      <c r="C71" s="92">
        <v>10026.0</v>
      </c>
      <c r="D71" s="63" t="s">
        <v>92</v>
      </c>
      <c r="E71" s="62" t="s">
        <v>218</v>
      </c>
      <c r="F71" s="63" t="s">
        <v>200</v>
      </c>
      <c r="G71" s="62">
        <v>1200.0</v>
      </c>
      <c r="H71" s="62">
        <v>1402.0</v>
      </c>
      <c r="I71" s="82">
        <v>1416.0</v>
      </c>
      <c r="J71" s="90"/>
      <c r="K71" s="10"/>
      <c r="L71" s="14"/>
    </row>
    <row r="72" ht="15.75" customHeight="1">
      <c r="B72" s="51"/>
      <c r="C72" s="51"/>
      <c r="D72" s="51"/>
      <c r="E72" s="62" t="s">
        <v>203</v>
      </c>
      <c r="F72" s="51"/>
      <c r="G72" s="96">
        <f t="shared" ref="G72:I72" si="2">G71/25.67/8</f>
        <v>5.843396961</v>
      </c>
      <c r="H72" s="96">
        <f t="shared" si="2"/>
        <v>6.82703545</v>
      </c>
      <c r="I72" s="97">
        <f t="shared" si="2"/>
        <v>6.895208414</v>
      </c>
      <c r="J72" s="90"/>
      <c r="K72" s="10"/>
      <c r="L72" s="14" t="s">
        <v>219</v>
      </c>
    </row>
    <row r="73" ht="15.75" customHeight="1">
      <c r="B73" s="61" t="str">
        <f>HYPERLINK("https://www.ncbi.nlm.nih.gov/pubmed/26229497","Gupta et al., 2015")</f>
        <v>Gupta et al., 2015</v>
      </c>
      <c r="C73" s="92">
        <v>34000.0</v>
      </c>
      <c r="D73" s="64" t="s">
        <v>220</v>
      </c>
      <c r="E73" s="62" t="s">
        <v>199</v>
      </c>
      <c r="F73" s="63" t="s">
        <v>200</v>
      </c>
      <c r="G73" s="98" t="s">
        <v>221</v>
      </c>
      <c r="H73" s="98" t="s">
        <v>222</v>
      </c>
      <c r="I73" s="98" t="s">
        <v>223</v>
      </c>
      <c r="J73" s="98" t="s">
        <v>224</v>
      </c>
      <c r="K73" s="98" t="s">
        <v>225</v>
      </c>
    </row>
    <row r="74" ht="15.75" customHeight="1">
      <c r="B74" s="51"/>
      <c r="C74" s="51"/>
      <c r="D74" s="51"/>
      <c r="E74" s="62" t="s">
        <v>203</v>
      </c>
      <c r="F74" s="51"/>
      <c r="G74" s="62" t="s">
        <v>201</v>
      </c>
      <c r="H74" s="62" t="s">
        <v>205</v>
      </c>
      <c r="I74" s="98">
        <v>4.2</v>
      </c>
      <c r="J74" s="62">
        <v>11.5</v>
      </c>
      <c r="K74" s="62">
        <v>34.7</v>
      </c>
      <c r="L74" s="14" t="s">
        <v>226</v>
      </c>
    </row>
    <row r="75" ht="15.75" customHeight="1">
      <c r="B75" s="60" t="str">
        <f>HYPERLINK("https://www.ncbi.nlm.nih.gov/pubmed/25375893","Kirkham et al., 2015")</f>
        <v>Kirkham et al., 2015</v>
      </c>
      <c r="C75" s="93">
        <v>17089.0</v>
      </c>
      <c r="D75" s="62" t="s">
        <v>92</v>
      </c>
      <c r="E75" s="62" t="s">
        <v>203</v>
      </c>
      <c r="F75" s="62" t="s">
        <v>200</v>
      </c>
      <c r="G75" s="62">
        <v>4.17</v>
      </c>
      <c r="H75" s="62" t="s">
        <v>205</v>
      </c>
      <c r="I75" s="62" t="s">
        <v>205</v>
      </c>
      <c r="J75" s="82">
        <v>4.73</v>
      </c>
      <c r="K75" s="10"/>
      <c r="L75" s="14" t="s">
        <v>227</v>
      </c>
    </row>
    <row r="76" ht="15.75" customHeight="1">
      <c r="B76" s="61" t="str">
        <f>HYPERLINK("https://journals.lww.com/joem/Abstract/2004/07000/Change_in_Health_Risks_and_Work_Productivity_Over.19.aspx","Pelletier et al., 2004")</f>
        <v>Pelletier et al., 2004</v>
      </c>
      <c r="C76" s="92">
        <v>500.0</v>
      </c>
      <c r="D76" s="63" t="s">
        <v>92</v>
      </c>
      <c r="E76" s="62" t="s">
        <v>199</v>
      </c>
      <c r="F76" s="63" t="s">
        <v>200</v>
      </c>
      <c r="G76" s="63" t="s">
        <v>201</v>
      </c>
      <c r="H76" s="82">
        <v>3.17</v>
      </c>
      <c r="I76" s="90"/>
      <c r="J76" s="90"/>
      <c r="K76" s="10"/>
      <c r="L76" s="14" t="s">
        <v>202</v>
      </c>
    </row>
    <row r="77" ht="15.75" customHeight="1">
      <c r="B77" s="51"/>
      <c r="C77" s="51"/>
      <c r="D77" s="51"/>
      <c r="E77" s="62" t="s">
        <v>203</v>
      </c>
      <c r="F77" s="51"/>
      <c r="G77" s="51"/>
      <c r="H77" s="82">
        <v>7.925</v>
      </c>
      <c r="I77" s="90"/>
      <c r="J77" s="90"/>
      <c r="K77" s="10"/>
      <c r="L77" s="14" t="s">
        <v>204</v>
      </c>
    </row>
    <row r="78" ht="15.75" customHeight="1">
      <c r="B78" s="94" t="s">
        <v>228</v>
      </c>
      <c r="C78" s="93">
        <v>7000.0</v>
      </c>
      <c r="D78" s="62" t="s">
        <v>92</v>
      </c>
      <c r="E78" s="62" t="s">
        <v>229</v>
      </c>
      <c r="F78" s="62" t="s">
        <v>200</v>
      </c>
      <c r="G78" s="62" t="s">
        <v>230</v>
      </c>
      <c r="H78" s="62" t="s">
        <v>230</v>
      </c>
      <c r="I78" s="82" t="s">
        <v>231</v>
      </c>
      <c r="J78" s="90"/>
      <c r="K78" s="10"/>
      <c r="L78" s="14"/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>
      <c r="B84" s="13" t="s">
        <v>232</v>
      </c>
    </row>
    <row r="85" ht="15.75" customHeight="1">
      <c r="B85" s="48"/>
      <c r="C85" s="49" t="s">
        <v>233</v>
      </c>
      <c r="D85" s="49" t="s">
        <v>234</v>
      </c>
      <c r="E85" s="49" t="s">
        <v>235</v>
      </c>
      <c r="F85" s="50" t="s">
        <v>236</v>
      </c>
      <c r="G85" s="49" t="s">
        <v>237</v>
      </c>
      <c r="H85" s="49" t="s">
        <v>88</v>
      </c>
      <c r="I85" s="49" t="s">
        <v>89</v>
      </c>
    </row>
    <row r="86" ht="15.75" customHeight="1">
      <c r="B86" s="51"/>
      <c r="C86" s="51"/>
      <c r="D86" s="51"/>
      <c r="E86" s="51"/>
      <c r="F86" s="51"/>
      <c r="G86" s="51"/>
      <c r="H86" s="51"/>
      <c r="I86" s="51"/>
    </row>
    <row r="87" ht="15.75" customHeight="1">
      <c r="B87" s="60" t="str">
        <f>HYPERLINK("https://www.ncbi.nlm.nih.gov/pubmed/16176494","Borg et al., 2005")</f>
        <v>Borg et al., 2005</v>
      </c>
      <c r="C87" s="62" t="s">
        <v>99</v>
      </c>
      <c r="D87" s="62" t="s">
        <v>100</v>
      </c>
      <c r="E87" s="62" t="s">
        <v>155</v>
      </c>
      <c r="F87" s="62" t="s">
        <v>238</v>
      </c>
      <c r="G87" s="62" t="s">
        <v>101</v>
      </c>
      <c r="H87" s="82" t="s">
        <v>239</v>
      </c>
      <c r="I87" s="10"/>
    </row>
    <row r="88" ht="15.75" customHeight="1">
      <c r="B88" s="84" t="str">
        <f>HYPERLINK("https://www.ncbi.nlm.nih.gov/pubmed/19601482","Dall et al., 2009")</f>
        <v>Dall et al., 2009</v>
      </c>
      <c r="C88" s="63" t="s">
        <v>92</v>
      </c>
      <c r="D88" s="63" t="s">
        <v>95</v>
      </c>
      <c r="E88" s="62" t="s">
        <v>155</v>
      </c>
      <c r="F88" s="63" t="s">
        <v>238</v>
      </c>
      <c r="G88" s="63" t="s">
        <v>96</v>
      </c>
      <c r="H88" s="62" t="s">
        <v>240</v>
      </c>
      <c r="I88" s="62" t="s">
        <v>241</v>
      </c>
      <c r="J88" s="14" t="s">
        <v>242</v>
      </c>
    </row>
    <row r="89" ht="15.75" customHeight="1">
      <c r="B89" s="51"/>
      <c r="C89" s="51"/>
      <c r="D89" s="51"/>
      <c r="E89" s="99" t="s">
        <v>243</v>
      </c>
      <c r="F89" s="51"/>
      <c r="G89" s="51"/>
      <c r="H89" s="55">
        <v>25.0</v>
      </c>
      <c r="I89" s="53" t="s">
        <v>244</v>
      </c>
      <c r="J89" s="14"/>
    </row>
    <row r="90" ht="15.75" customHeight="1">
      <c r="B90" s="61" t="str">
        <f>HYPERLINK("https://bmjopen.bmj.com/content/5/3/e006189#T2","Dee et al., 2015")</f>
        <v>Dee et al., 2015</v>
      </c>
      <c r="C90" s="62" t="s">
        <v>245</v>
      </c>
      <c r="D90" s="63">
        <v>2009.0</v>
      </c>
      <c r="E90" s="62" t="s">
        <v>155</v>
      </c>
      <c r="F90" s="63" t="s">
        <v>246</v>
      </c>
      <c r="G90" s="62" t="s">
        <v>109</v>
      </c>
      <c r="H90" s="82" t="s">
        <v>247</v>
      </c>
      <c r="I90" s="10"/>
    </row>
    <row r="91" ht="15.75" customHeight="1">
      <c r="B91" s="51"/>
      <c r="C91" s="62" t="s">
        <v>111</v>
      </c>
      <c r="D91" s="51"/>
      <c r="E91" s="62" t="s">
        <v>155</v>
      </c>
      <c r="F91" s="51"/>
      <c r="G91" s="62" t="s">
        <v>248</v>
      </c>
      <c r="H91" s="82" t="s">
        <v>249</v>
      </c>
      <c r="I91" s="10"/>
    </row>
    <row r="92" ht="15.75" customHeight="1">
      <c r="B92" s="61" t="str">
        <f>HYPERLINK("https://www.ncbi.nlm.nih.gov/pubmed/26701837","Effertz et al., 2016")</f>
        <v>Effertz et al., 2016</v>
      </c>
      <c r="C92" s="63" t="s">
        <v>113</v>
      </c>
      <c r="D92" s="63" t="s">
        <v>114</v>
      </c>
      <c r="E92" s="62" t="s">
        <v>250</v>
      </c>
      <c r="F92" s="63" t="s">
        <v>95</v>
      </c>
      <c r="G92" s="63" t="s">
        <v>116</v>
      </c>
      <c r="H92" s="62" t="s">
        <v>95</v>
      </c>
      <c r="I92" s="62" t="s">
        <v>251</v>
      </c>
    </row>
    <row r="93" ht="15.75" customHeight="1">
      <c r="B93" s="85"/>
      <c r="C93" s="85"/>
      <c r="D93" s="85"/>
      <c r="E93" s="62" t="s">
        <v>252</v>
      </c>
      <c r="F93" s="85"/>
      <c r="G93" s="85"/>
      <c r="H93" s="62" t="s">
        <v>95</v>
      </c>
      <c r="I93" s="62" t="s">
        <v>253</v>
      </c>
    </row>
    <row r="94" ht="15.75" customHeight="1">
      <c r="B94" s="51"/>
      <c r="C94" s="51"/>
      <c r="D94" s="51"/>
      <c r="E94" s="62" t="s">
        <v>159</v>
      </c>
      <c r="F94" s="51"/>
      <c r="G94" s="51"/>
      <c r="H94" s="62" t="s">
        <v>95</v>
      </c>
      <c r="I94" s="62" t="s">
        <v>254</v>
      </c>
    </row>
    <row r="95" ht="15.75" customHeight="1">
      <c r="B95" s="61" t="str">
        <f>HYPERLINK("https://www.ncbi.nlm.nih.gov/pubmed/12517229","Fontaine et al., 2003")</f>
        <v>Fontaine et al., 2003</v>
      </c>
      <c r="C95" s="63" t="s">
        <v>92</v>
      </c>
      <c r="D95" s="63" t="s">
        <v>255</v>
      </c>
      <c r="E95" s="64" t="s">
        <v>256</v>
      </c>
      <c r="F95" s="63" t="s">
        <v>95</v>
      </c>
      <c r="G95" s="53" t="s">
        <v>257</v>
      </c>
      <c r="H95" s="63" t="s">
        <v>95</v>
      </c>
      <c r="I95" s="53" t="s">
        <v>258</v>
      </c>
      <c r="J95" s="14" t="s">
        <v>259</v>
      </c>
    </row>
    <row r="96" ht="15.75" customHeight="1">
      <c r="B96" s="51"/>
      <c r="C96" s="51"/>
      <c r="D96" s="51"/>
      <c r="E96" s="51"/>
      <c r="F96" s="51"/>
      <c r="G96" s="53" t="s">
        <v>260</v>
      </c>
      <c r="H96" s="51"/>
      <c r="I96" s="53" t="s">
        <v>261</v>
      </c>
    </row>
    <row r="97" ht="15.75" customHeight="1">
      <c r="B97" s="61" t="str">
        <f>HYPERLINK("https://www.ncbi.nlm.nih.gov/pmc/articles/PMC3230011/","Kang et al., 2011")</f>
        <v>Kang et al., 2011</v>
      </c>
      <c r="C97" s="63" t="s">
        <v>125</v>
      </c>
      <c r="D97" s="63">
        <v>2005.0</v>
      </c>
      <c r="E97" s="62" t="s">
        <v>250</v>
      </c>
      <c r="F97" s="63" t="s">
        <v>262</v>
      </c>
      <c r="G97" s="63" t="s">
        <v>126</v>
      </c>
      <c r="H97" s="82" t="s">
        <v>263</v>
      </c>
      <c r="I97" s="10"/>
    </row>
    <row r="98" ht="15.75" customHeight="1">
      <c r="B98" s="51"/>
      <c r="C98" s="51"/>
      <c r="D98" s="51"/>
      <c r="E98" s="62" t="s">
        <v>155</v>
      </c>
      <c r="F98" s="51"/>
      <c r="G98" s="51"/>
      <c r="H98" s="82" t="s">
        <v>264</v>
      </c>
      <c r="I98" s="10"/>
    </row>
    <row r="99" ht="15.75" customHeight="1">
      <c r="B99" s="84" t="str">
        <f>HYPERLINK("https://www.ncbi.nlm.nih.gov/pubmed/20401679","Konnopka et al., 2011")</f>
        <v>Konnopka et al., 2011</v>
      </c>
      <c r="C99" s="63" t="s">
        <v>113</v>
      </c>
      <c r="D99" s="63">
        <v>2002.0</v>
      </c>
      <c r="E99" s="62" t="s">
        <v>250</v>
      </c>
      <c r="F99" s="63" t="s">
        <v>265</v>
      </c>
      <c r="G99" s="63" t="s">
        <v>96</v>
      </c>
      <c r="H99" s="82" t="s">
        <v>266</v>
      </c>
      <c r="I99" s="10"/>
    </row>
    <row r="100" ht="15.75" customHeight="1">
      <c r="B100" s="51"/>
      <c r="C100" s="51"/>
      <c r="D100" s="51"/>
      <c r="E100" s="62" t="s">
        <v>159</v>
      </c>
      <c r="F100" s="51"/>
      <c r="G100" s="51"/>
      <c r="H100" s="82" t="s">
        <v>267</v>
      </c>
      <c r="I100" s="10"/>
    </row>
    <row r="101" ht="15.75" customHeight="1">
      <c r="B101" s="61" t="str">
        <f>HYPERLINK("https://www.ncbi.nlm.nih.gov/pubmed/25381038","Lehnert et al., 2015")</f>
        <v>Lehnert et al., 2015</v>
      </c>
      <c r="C101" s="63" t="s">
        <v>113</v>
      </c>
      <c r="D101" s="63">
        <v>2008.0</v>
      </c>
      <c r="E101" s="62" t="s">
        <v>250</v>
      </c>
      <c r="F101" s="63" t="s">
        <v>265</v>
      </c>
      <c r="G101" s="63" t="s">
        <v>96</v>
      </c>
      <c r="H101" s="82" t="s">
        <v>268</v>
      </c>
      <c r="I101" s="10"/>
    </row>
    <row r="102" ht="15.75" customHeight="1">
      <c r="B102" s="51"/>
      <c r="C102" s="51"/>
      <c r="D102" s="51"/>
      <c r="E102" s="62" t="s">
        <v>159</v>
      </c>
      <c r="F102" s="51"/>
      <c r="G102" s="51"/>
      <c r="H102" s="82" t="s">
        <v>269</v>
      </c>
      <c r="I102" s="10"/>
    </row>
    <row r="103" ht="15.75" customHeight="1">
      <c r="B103" s="52" t="str">
        <f>HYPERLINK("https://www.ncbi.nlm.nih.gov/pubmed/22827692","Neovius et al., 2012")</f>
        <v>Neovius et al., 2012</v>
      </c>
      <c r="C103" s="53" t="s">
        <v>99</v>
      </c>
      <c r="D103" s="53" t="s">
        <v>179</v>
      </c>
      <c r="E103" s="54" t="s">
        <v>180</v>
      </c>
      <c r="F103" s="53" t="s">
        <v>238</v>
      </c>
      <c r="G103" s="53" t="s">
        <v>96</v>
      </c>
      <c r="H103" s="53" t="s">
        <v>270</v>
      </c>
      <c r="I103" s="53" t="s">
        <v>271</v>
      </c>
    </row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>
      <c r="B109" s="14"/>
      <c r="C109" s="100"/>
    </row>
    <row r="110" ht="15.75" customHeight="1">
      <c r="B110" s="14"/>
      <c r="C110" s="100"/>
    </row>
    <row r="111" ht="15.75" customHeight="1">
      <c r="B111" s="14"/>
      <c r="C111" s="100"/>
    </row>
    <row r="112" ht="15.75" customHeight="1">
      <c r="B112" s="14"/>
      <c r="C112" s="100"/>
    </row>
    <row r="113" ht="15.75" customHeight="1">
      <c r="B113" s="14"/>
      <c r="C113" s="100"/>
    </row>
    <row r="114" ht="15.75" customHeight="1">
      <c r="B114" s="14"/>
      <c r="C114" s="100"/>
    </row>
    <row r="115" ht="15.75" customHeight="1">
      <c r="B115" s="14"/>
      <c r="C115" s="100"/>
    </row>
    <row r="116" ht="15.75" customHeight="1">
      <c r="B116" s="14"/>
      <c r="C116" s="100"/>
    </row>
    <row r="117" ht="15.75" customHeight="1">
      <c r="B117" s="14"/>
      <c r="C117" s="100"/>
    </row>
    <row r="118" ht="15.75" customHeight="1">
      <c r="B118" s="14"/>
      <c r="C118" s="100"/>
    </row>
    <row r="119" ht="15.75" customHeight="1">
      <c r="B119" s="14"/>
      <c r="C119" s="100"/>
    </row>
    <row r="120" ht="15.75" customHeight="1">
      <c r="B120" s="14"/>
      <c r="C120" s="100"/>
    </row>
    <row r="121" ht="15.75" customHeight="1">
      <c r="B121" s="14"/>
      <c r="C121" s="100"/>
    </row>
    <row r="122" ht="15.75" customHeight="1">
      <c r="B122" s="14"/>
      <c r="C122" s="100"/>
    </row>
    <row r="123" ht="15.75" customHeight="1">
      <c r="B123" s="14"/>
      <c r="C123" s="100"/>
    </row>
    <row r="124" ht="15.75" customHeight="1">
      <c r="B124" s="14"/>
      <c r="C124" s="100"/>
    </row>
    <row r="125" ht="15.75" customHeight="1">
      <c r="B125" s="14"/>
      <c r="C125" s="100"/>
    </row>
    <row r="126" ht="15.75" customHeight="1">
      <c r="B126" s="14"/>
      <c r="C126" s="100"/>
    </row>
    <row r="127" ht="15.75" customHeight="1">
      <c r="B127" s="14"/>
      <c r="C127" s="100"/>
    </row>
    <row r="128" ht="15.75" customHeight="1">
      <c r="B128" s="101"/>
      <c r="C128" s="100"/>
    </row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</sheetData>
  <mergeCells count="179">
    <mergeCell ref="I3:I4"/>
    <mergeCell ref="J3:J4"/>
    <mergeCell ref="H7:I7"/>
    <mergeCell ref="B3:B4"/>
    <mergeCell ref="C3:C4"/>
    <mergeCell ref="D3:D4"/>
    <mergeCell ref="E3:E4"/>
    <mergeCell ref="F3:F4"/>
    <mergeCell ref="G3:G4"/>
    <mergeCell ref="H3:H4"/>
    <mergeCell ref="B9:B10"/>
    <mergeCell ref="D9:D10"/>
    <mergeCell ref="E9:E10"/>
    <mergeCell ref="F9:F10"/>
    <mergeCell ref="G9:G10"/>
    <mergeCell ref="H9:I9"/>
    <mergeCell ref="H10:I10"/>
    <mergeCell ref="E15:E16"/>
    <mergeCell ref="F15:F16"/>
    <mergeCell ref="J15:J16"/>
    <mergeCell ref="H17:I17"/>
    <mergeCell ref="H19:I20"/>
    <mergeCell ref="J19:J20"/>
    <mergeCell ref="J23:J24"/>
    <mergeCell ref="B12:B13"/>
    <mergeCell ref="C12:C13"/>
    <mergeCell ref="D12:D13"/>
    <mergeCell ref="E12:E13"/>
    <mergeCell ref="F12:F13"/>
    <mergeCell ref="J12:J13"/>
    <mergeCell ref="B15:B16"/>
    <mergeCell ref="C15:C16"/>
    <mergeCell ref="D15:D16"/>
    <mergeCell ref="B19:B20"/>
    <mergeCell ref="D19:D20"/>
    <mergeCell ref="E19:E20"/>
    <mergeCell ref="F19:F20"/>
    <mergeCell ref="G19:G20"/>
    <mergeCell ref="B39:B42"/>
    <mergeCell ref="C39:C42"/>
    <mergeCell ref="D39:D42"/>
    <mergeCell ref="F39:F40"/>
    <mergeCell ref="B43:B44"/>
    <mergeCell ref="C43:C44"/>
    <mergeCell ref="D43:D44"/>
    <mergeCell ref="B45:B49"/>
    <mergeCell ref="C45:C49"/>
    <mergeCell ref="D45:D49"/>
    <mergeCell ref="B62:B63"/>
    <mergeCell ref="C62:C63"/>
    <mergeCell ref="D62:D63"/>
    <mergeCell ref="E62:E63"/>
    <mergeCell ref="I72:K72"/>
    <mergeCell ref="J75:K75"/>
    <mergeCell ref="H76:K76"/>
    <mergeCell ref="H77:K77"/>
    <mergeCell ref="I78:K78"/>
    <mergeCell ref="I62:K62"/>
    <mergeCell ref="H64:K64"/>
    <mergeCell ref="H65:K65"/>
    <mergeCell ref="I66:K66"/>
    <mergeCell ref="I67:K67"/>
    <mergeCell ref="I70:K70"/>
    <mergeCell ref="I71:K71"/>
    <mergeCell ref="D27:D28"/>
    <mergeCell ref="E27:E28"/>
    <mergeCell ref="G27:G28"/>
    <mergeCell ref="H27:H28"/>
    <mergeCell ref="F29:F30"/>
    <mergeCell ref="F31:F32"/>
    <mergeCell ref="G31:H31"/>
    <mergeCell ref="G32:H32"/>
    <mergeCell ref="C19:C20"/>
    <mergeCell ref="C23:C24"/>
    <mergeCell ref="D23:D24"/>
    <mergeCell ref="E23:E24"/>
    <mergeCell ref="F23:F24"/>
    <mergeCell ref="C27:C28"/>
    <mergeCell ref="F27:F28"/>
    <mergeCell ref="C34:C37"/>
    <mergeCell ref="D34:D37"/>
    <mergeCell ref="F34:F35"/>
    <mergeCell ref="F36:F37"/>
    <mergeCell ref="G38:H38"/>
    <mergeCell ref="B27:B28"/>
    <mergeCell ref="B29:B30"/>
    <mergeCell ref="C29:C30"/>
    <mergeCell ref="D29:D30"/>
    <mergeCell ref="B31:B32"/>
    <mergeCell ref="D31:D32"/>
    <mergeCell ref="B34:B37"/>
    <mergeCell ref="F41:F42"/>
    <mergeCell ref="F43:F44"/>
    <mergeCell ref="G43:H43"/>
    <mergeCell ref="G44:H44"/>
    <mergeCell ref="F45:F46"/>
    <mergeCell ref="F47:F48"/>
    <mergeCell ref="G49:H49"/>
    <mergeCell ref="F62:F63"/>
    <mergeCell ref="G62:G63"/>
    <mergeCell ref="H62:H63"/>
    <mergeCell ref="C64:C65"/>
    <mergeCell ref="D64:D65"/>
    <mergeCell ref="F64:F65"/>
    <mergeCell ref="G64:G65"/>
    <mergeCell ref="B88:B89"/>
    <mergeCell ref="C88:C89"/>
    <mergeCell ref="D88:D89"/>
    <mergeCell ref="F88:F89"/>
    <mergeCell ref="G88:G89"/>
    <mergeCell ref="D90:D91"/>
    <mergeCell ref="F90:F91"/>
    <mergeCell ref="B90:B91"/>
    <mergeCell ref="B92:B94"/>
    <mergeCell ref="C92:C94"/>
    <mergeCell ref="D92:D94"/>
    <mergeCell ref="F92:F94"/>
    <mergeCell ref="G92:G94"/>
    <mergeCell ref="B95:B96"/>
    <mergeCell ref="F97:F98"/>
    <mergeCell ref="F99:F100"/>
    <mergeCell ref="F101:F102"/>
    <mergeCell ref="G101:G102"/>
    <mergeCell ref="B99:B100"/>
    <mergeCell ref="B101:B102"/>
    <mergeCell ref="C101:C102"/>
    <mergeCell ref="D101:D102"/>
    <mergeCell ref="B97:B98"/>
    <mergeCell ref="C97:C98"/>
    <mergeCell ref="D97:D98"/>
    <mergeCell ref="G97:G98"/>
    <mergeCell ref="C99:C100"/>
    <mergeCell ref="D99:D100"/>
    <mergeCell ref="G99:G100"/>
    <mergeCell ref="B64:B65"/>
    <mergeCell ref="B66:B67"/>
    <mergeCell ref="C66:C67"/>
    <mergeCell ref="D66:D67"/>
    <mergeCell ref="F66:F67"/>
    <mergeCell ref="G66:G67"/>
    <mergeCell ref="B68:B69"/>
    <mergeCell ref="G68:G69"/>
    <mergeCell ref="D68:D69"/>
    <mergeCell ref="E68:E69"/>
    <mergeCell ref="B71:B72"/>
    <mergeCell ref="C71:C72"/>
    <mergeCell ref="D71:D72"/>
    <mergeCell ref="F71:F72"/>
    <mergeCell ref="B73:B74"/>
    <mergeCell ref="F73:F74"/>
    <mergeCell ref="C73:C74"/>
    <mergeCell ref="D73:D74"/>
    <mergeCell ref="B76:B77"/>
    <mergeCell ref="C76:C77"/>
    <mergeCell ref="D76:D77"/>
    <mergeCell ref="F76:F77"/>
    <mergeCell ref="G76:G77"/>
    <mergeCell ref="I85:I86"/>
    <mergeCell ref="H87:I87"/>
    <mergeCell ref="H90:I90"/>
    <mergeCell ref="H91:I91"/>
    <mergeCell ref="B85:B86"/>
    <mergeCell ref="C85:C86"/>
    <mergeCell ref="D85:D86"/>
    <mergeCell ref="E85:E86"/>
    <mergeCell ref="F85:F86"/>
    <mergeCell ref="G85:G86"/>
    <mergeCell ref="H85:H86"/>
    <mergeCell ref="C95:C96"/>
    <mergeCell ref="D95:D96"/>
    <mergeCell ref="H101:I101"/>
    <mergeCell ref="H102:I102"/>
    <mergeCell ref="E95:E96"/>
    <mergeCell ref="F95:F96"/>
    <mergeCell ref="H95:H96"/>
    <mergeCell ref="H97:I97"/>
    <mergeCell ref="H98:I98"/>
    <mergeCell ref="H99:I99"/>
    <mergeCell ref="H100:I100"/>
  </mergeCells>
  <conditionalFormatting sqref="E53:E59">
    <cfRule type="cellIs" dxfId="0" priority="1" operator="equal">
      <formula>"WAITING FOR VALIDATION"</formula>
    </cfRule>
  </conditionalFormatting>
  <hyperlinks>
    <hyperlink r:id="rId1" ref="B70"/>
    <hyperlink r:id="rId2" ref="B71"/>
    <hyperlink r:id="rId3" ref="B78"/>
  </hyperlinks>
  <printOptions/>
  <pageMargins bottom="0.787401575" footer="0.0" header="0.0" left="0.7" right="0.7" top="0.787401575"/>
  <pageSetup orientation="landscape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0.75"/>
    <col customWidth="1" min="2" max="12" width="11.25"/>
    <col customWidth="1" min="13" max="13" width="15.88"/>
    <col customWidth="1" min="14" max="14" width="19.63"/>
    <col customWidth="1" min="15" max="15" width="15.88"/>
    <col customWidth="1" min="16" max="16" width="11.5"/>
    <col customWidth="1" min="17" max="17" width="15.88"/>
    <col customWidth="1" min="18" max="18" width="11.5"/>
  </cols>
  <sheetData>
    <row r="1" ht="15.75" customHeight="1">
      <c r="A1" s="102" t="s">
        <v>272</v>
      </c>
      <c r="B1" s="103"/>
      <c r="C1" s="104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6"/>
    </row>
    <row r="2" ht="15.75" customHeight="1">
      <c r="B2" s="103"/>
      <c r="C2" s="107"/>
      <c r="D2" s="108" t="s">
        <v>273</v>
      </c>
      <c r="E2" s="109"/>
      <c r="F2" s="108" t="s">
        <v>274</v>
      </c>
      <c r="G2" s="109"/>
      <c r="H2" s="108" t="s">
        <v>275</v>
      </c>
      <c r="I2" s="109"/>
      <c r="J2" s="107" t="s">
        <v>276</v>
      </c>
      <c r="K2" s="107" t="s">
        <v>277</v>
      </c>
      <c r="L2" s="107" t="s">
        <v>278</v>
      </c>
      <c r="M2" s="110" t="s">
        <v>279</v>
      </c>
      <c r="N2" s="105"/>
      <c r="O2" s="105"/>
      <c r="P2" s="105"/>
      <c r="Q2" s="105"/>
      <c r="R2" s="106"/>
    </row>
    <row r="3" ht="25.5" customHeight="1">
      <c r="A3" s="111" t="s">
        <v>280</v>
      </c>
      <c r="B3" s="112" t="s">
        <v>281</v>
      </c>
      <c r="C3" s="113" t="s">
        <v>282</v>
      </c>
      <c r="D3" s="114" t="s">
        <v>283</v>
      </c>
      <c r="E3" s="115" t="s">
        <v>284</v>
      </c>
      <c r="F3" s="114" t="s">
        <v>283</v>
      </c>
      <c r="G3" s="115" t="s">
        <v>284</v>
      </c>
      <c r="H3" s="114" t="s">
        <v>283</v>
      </c>
      <c r="I3" s="115" t="s">
        <v>284</v>
      </c>
      <c r="J3" s="116" t="s">
        <v>200</v>
      </c>
      <c r="K3" s="116" t="s">
        <v>200</v>
      </c>
      <c r="L3" s="116" t="s">
        <v>200</v>
      </c>
      <c r="M3" s="117" t="s">
        <v>285</v>
      </c>
      <c r="N3" s="118"/>
      <c r="O3" s="117" t="s">
        <v>286</v>
      </c>
      <c r="P3" s="118"/>
      <c r="Q3" s="117" t="s">
        <v>287</v>
      </c>
      <c r="R3" s="118"/>
    </row>
    <row r="4" ht="15.75" customHeight="1">
      <c r="A4" s="14" t="s">
        <v>288</v>
      </c>
      <c r="B4" s="119" t="s">
        <v>289</v>
      </c>
      <c r="C4" s="120">
        <v>1.339231855E9</v>
      </c>
      <c r="D4" s="121">
        <f>'Pomocná data V. PAF'!B148</f>
        <v>0.03391069437</v>
      </c>
      <c r="E4" s="122">
        <f>'Pomocná data V. PAF'!B149</f>
        <v>0.07551547609</v>
      </c>
      <c r="F4" s="123">
        <f>'Pomocná data V. PAF'!B141</f>
        <v>0.09731829033</v>
      </c>
      <c r="G4" s="124">
        <f>'Pomocná data V. PAF'!B142</f>
        <v>0.1503691352</v>
      </c>
      <c r="H4" s="121">
        <f>'Pomocná data V. PAF'!B155</f>
        <v>0.1653241542</v>
      </c>
      <c r="I4" s="122">
        <f>'Pomocná data V. PAF'!B156</f>
        <v>0.2304777197</v>
      </c>
      <c r="J4" s="121">
        <f t="shared" ref="J4:J23" si="1">AVERAGE(D4:E4)</f>
        <v>0.05471308523</v>
      </c>
      <c r="K4" s="125">
        <f t="shared" ref="K4:K23" si="2">AVERAGE(F4:G4)</f>
        <v>0.1238437128</v>
      </c>
      <c r="L4" s="125">
        <f t="shared" ref="L4:L23" si="3">AVERAGE(H4:I4)</f>
        <v>0.1979009369</v>
      </c>
      <c r="M4" s="126">
        <f t="shared" ref="M4:M23" si="4">C4*J4</f>
        <v>73273506.62</v>
      </c>
      <c r="N4" s="122">
        <f t="shared" ref="N4:N23" si="5">M4/SUM($M$4:$M$23)</f>
        <v>0.009507701519</v>
      </c>
      <c r="O4" s="127">
        <f t="shared" ref="O4:O23" si="6">C4*K4</f>
        <v>165855445.2</v>
      </c>
      <c r="P4" s="122">
        <f t="shared" ref="P4:P23" si="7">O4/$O$24</f>
        <v>0.01608888389</v>
      </c>
      <c r="Q4" s="126">
        <f t="shared" ref="Q4:Q23" si="8">C4*L4</f>
        <v>265035238.9</v>
      </c>
      <c r="R4" s="122">
        <f t="shared" ref="R4:R23" si="9">Q4/SUM($Q$4:$Q$23)</f>
        <v>0.01969655617</v>
      </c>
    </row>
    <row r="5" ht="15.75" customHeight="1">
      <c r="A5" s="14" t="s">
        <v>290</v>
      </c>
      <c r="B5" s="119" t="s">
        <v>291</v>
      </c>
      <c r="C5" s="120">
        <v>4.113480944E9</v>
      </c>
      <c r="D5" s="123">
        <f>'Pomocná data V. PAF'!C148</f>
        <v>0.2415141483</v>
      </c>
      <c r="E5" s="124">
        <f>'Pomocná data V. PAF'!C149</f>
        <v>0.2237004565</v>
      </c>
      <c r="F5" s="123">
        <f>'Pomocná data V. PAF'!C141</f>
        <v>0.3121501728</v>
      </c>
      <c r="G5" s="124">
        <f>'Pomocná data V. PAF'!C142</f>
        <v>0.2911262128</v>
      </c>
      <c r="H5" s="123">
        <f>'Pomocná data V. PAF'!C155</f>
        <v>0.3833969871</v>
      </c>
      <c r="I5" s="124">
        <f>'Pomocná data V. PAF'!C156</f>
        <v>0.3600864641</v>
      </c>
      <c r="J5" s="123">
        <f t="shared" si="1"/>
        <v>0.2326073024</v>
      </c>
      <c r="K5" s="18">
        <f t="shared" si="2"/>
        <v>0.3016381928</v>
      </c>
      <c r="L5" s="18">
        <f t="shared" si="3"/>
        <v>0.3717417256</v>
      </c>
      <c r="M5" s="128">
        <f t="shared" si="4"/>
        <v>956825705.8</v>
      </c>
      <c r="N5" s="124">
        <f t="shared" si="5"/>
        <v>0.1241541948</v>
      </c>
      <c r="O5" s="39">
        <f t="shared" si="6"/>
        <v>1240782958</v>
      </c>
      <c r="P5" s="124">
        <f t="shared" si="7"/>
        <v>0.1203627226</v>
      </c>
      <c r="Q5" s="128">
        <f t="shared" si="8"/>
        <v>1529152504</v>
      </c>
      <c r="R5" s="124">
        <f t="shared" si="9"/>
        <v>0.1136416362</v>
      </c>
    </row>
    <row r="6" ht="15.75" customHeight="1">
      <c r="A6" s="14" t="s">
        <v>292</v>
      </c>
      <c r="B6" s="119" t="s">
        <v>293</v>
      </c>
      <c r="C6" s="120">
        <v>3.405887146E9</v>
      </c>
      <c r="D6" s="123">
        <f>'Pomocná data V. PAF'!D148</f>
        <v>0.5328810378</v>
      </c>
      <c r="E6" s="124">
        <f>'Pomocná data V. PAF'!D149</f>
        <v>0.6456419113</v>
      </c>
      <c r="F6" s="123">
        <f>'Pomocná data V. PAF'!D141</f>
        <v>0.5900195559</v>
      </c>
      <c r="G6" s="124">
        <f>'Pomocná data V. PAF'!D142</f>
        <v>0.7213650298</v>
      </c>
      <c r="H6" s="123">
        <f>'Pomocná data V. PAF'!D155</f>
        <v>0.64319951</v>
      </c>
      <c r="I6" s="124">
        <f>'Pomocná data V. PAF'!D156</f>
        <v>0.784668775</v>
      </c>
      <c r="J6" s="123">
        <f t="shared" si="1"/>
        <v>0.5892614745</v>
      </c>
      <c r="K6" s="18">
        <f t="shared" si="2"/>
        <v>0.6556922928</v>
      </c>
      <c r="L6" s="18">
        <f t="shared" si="3"/>
        <v>0.7139341425</v>
      </c>
      <c r="M6" s="128">
        <f t="shared" si="4"/>
        <v>2006958082</v>
      </c>
      <c r="N6" s="124">
        <f t="shared" si="5"/>
        <v>0.260415521</v>
      </c>
      <c r="O6" s="39">
        <f t="shared" si="6"/>
        <v>2233213952</v>
      </c>
      <c r="P6" s="124">
        <f t="shared" si="7"/>
        <v>0.2166339485</v>
      </c>
      <c r="Q6" s="128">
        <f t="shared" si="8"/>
        <v>2431579119</v>
      </c>
      <c r="R6" s="124">
        <f t="shared" si="9"/>
        <v>0.1807070445</v>
      </c>
    </row>
    <row r="7" ht="15.75" customHeight="1">
      <c r="A7" s="14" t="s">
        <v>294</v>
      </c>
      <c r="B7" s="119" t="s">
        <v>295</v>
      </c>
      <c r="C7" s="120">
        <v>7.964731628E9</v>
      </c>
      <c r="D7" s="123">
        <f>'Pomocná data V. PAF'!E148</f>
        <v>0.1133713479</v>
      </c>
      <c r="E7" s="124">
        <f>'Pomocná data V. PAF'!E149</f>
        <v>0.2911262128</v>
      </c>
      <c r="F7" s="123">
        <f>'Pomocná data V. PAF'!E141</f>
        <v>0.15291523</v>
      </c>
      <c r="G7" s="124">
        <f>'Pomocná data V. PAF'!E142</f>
        <v>0.322717727</v>
      </c>
      <c r="H7" s="123">
        <f>'Pomocná data V. PAF'!E155</f>
        <v>0.3121501728</v>
      </c>
      <c r="I7" s="124">
        <f>'Pomocná data V. PAF'!E156</f>
        <v>0.3554068417</v>
      </c>
      <c r="J7" s="123">
        <f t="shared" si="1"/>
        <v>0.2022487804</v>
      </c>
      <c r="K7" s="18">
        <f t="shared" si="2"/>
        <v>0.2378164785</v>
      </c>
      <c r="L7" s="18">
        <f t="shared" si="3"/>
        <v>0.3337785072</v>
      </c>
      <c r="M7" s="128">
        <f t="shared" si="4"/>
        <v>1610857258</v>
      </c>
      <c r="N7" s="124">
        <f t="shared" si="5"/>
        <v>0.2090189306</v>
      </c>
      <c r="O7" s="39">
        <f t="shared" si="6"/>
        <v>1894144428</v>
      </c>
      <c r="P7" s="124">
        <f t="shared" si="7"/>
        <v>0.1837423531</v>
      </c>
      <c r="Q7" s="128">
        <f t="shared" si="8"/>
        <v>2658456233</v>
      </c>
      <c r="R7" s="124">
        <f t="shared" si="9"/>
        <v>0.197567813</v>
      </c>
    </row>
    <row r="8" ht="15.75" customHeight="1">
      <c r="A8" s="14" t="s">
        <v>296</v>
      </c>
      <c r="B8" s="119" t="s">
        <v>297</v>
      </c>
      <c r="C8" s="120">
        <v>7.87429797E8</v>
      </c>
      <c r="D8" s="129"/>
      <c r="E8" s="124">
        <f>'Pomocná data V. PAF'!F149</f>
        <v>0.01782835195</v>
      </c>
      <c r="F8" s="129"/>
      <c r="G8" s="124">
        <f>'Pomocná data V. PAF'!F142</f>
        <v>0.06769285185</v>
      </c>
      <c r="H8" s="129"/>
      <c r="I8" s="124">
        <f>'Pomocná data V. PAF'!F156</f>
        <v>0.1198266174</v>
      </c>
      <c r="J8" s="123">
        <f t="shared" si="1"/>
        <v>0.01782835195</v>
      </c>
      <c r="K8" s="18">
        <f t="shared" si="2"/>
        <v>0.06769285185</v>
      </c>
      <c r="L8" s="18">
        <f t="shared" si="3"/>
        <v>0.1198266174</v>
      </c>
      <c r="M8" s="128">
        <f t="shared" si="4"/>
        <v>14038575.56</v>
      </c>
      <c r="N8" s="124">
        <f t="shared" si="5"/>
        <v>0.001821594084</v>
      </c>
      <c r="O8" s="39">
        <f t="shared" si="6"/>
        <v>53303368.59</v>
      </c>
      <c r="P8" s="124">
        <f t="shared" si="7"/>
        <v>0.005170717834</v>
      </c>
      <c r="Q8" s="128">
        <f t="shared" si="8"/>
        <v>94355049.04</v>
      </c>
      <c r="R8" s="124">
        <f t="shared" si="9"/>
        <v>0.007012160085</v>
      </c>
    </row>
    <row r="9" ht="15.75" customHeight="1">
      <c r="A9" s="14" t="s">
        <v>298</v>
      </c>
      <c r="B9" s="119" t="s">
        <v>299</v>
      </c>
      <c r="C9" s="120">
        <v>2.554136815E8</v>
      </c>
      <c r="D9" s="123">
        <f>'Pomocná data V. PAF'!G148</f>
        <v>0.01724778944</v>
      </c>
      <c r="E9" s="119"/>
      <c r="F9" s="123">
        <f>'Pomocná data V. PAF'!G141</f>
        <v>0.06119819806</v>
      </c>
      <c r="G9" s="119"/>
      <c r="H9" s="123">
        <f>'Pomocná data V. PAF'!G155</f>
        <v>0.1074188107</v>
      </c>
      <c r="I9" s="119"/>
      <c r="J9" s="123">
        <f t="shared" si="1"/>
        <v>0.01724778944</v>
      </c>
      <c r="K9" s="18">
        <f t="shared" si="2"/>
        <v>0.06119819806</v>
      </c>
      <c r="L9" s="18">
        <f t="shared" si="3"/>
        <v>0.1074188107</v>
      </c>
      <c r="M9" s="128">
        <f t="shared" si="4"/>
        <v>4405321.399</v>
      </c>
      <c r="N9" s="124">
        <f t="shared" si="5"/>
        <v>0.0005716183501</v>
      </c>
      <c r="O9" s="39">
        <f t="shared" si="6"/>
        <v>15630857.07</v>
      </c>
      <c r="P9" s="124">
        <f t="shared" si="7"/>
        <v>0.001516278493</v>
      </c>
      <c r="Q9" s="128">
        <f t="shared" si="8"/>
        <v>27436233.91</v>
      </c>
      <c r="R9" s="124">
        <f t="shared" si="9"/>
        <v>0.002038971589</v>
      </c>
    </row>
    <row r="10" ht="15.75" customHeight="1">
      <c r="A10" s="14" t="s">
        <v>300</v>
      </c>
      <c r="B10" s="119" t="s">
        <v>301</v>
      </c>
      <c r="C10" s="120">
        <v>1.063426501E9</v>
      </c>
      <c r="D10" s="123">
        <f>'Pomocná data V. PAF'!H148</f>
        <v>0.07641557945</v>
      </c>
      <c r="E10" s="124">
        <f>'Pomocná data V. PAF'!H149</f>
        <v>0.05772641652</v>
      </c>
      <c r="F10" s="123">
        <f>'Pomocná data V. PAF'!H141</f>
        <v>0.1133713479</v>
      </c>
      <c r="G10" s="124">
        <f>'Pomocná data V. PAF'!H142</f>
        <v>0.100056466</v>
      </c>
      <c r="H10" s="123">
        <f>'Pomocná data V. PAF'!H155</f>
        <v>0.15291523</v>
      </c>
      <c r="I10" s="124">
        <f>'Pomocná data V. PAF'!H156</f>
        <v>0.1437665153</v>
      </c>
      <c r="J10" s="123">
        <f t="shared" si="1"/>
        <v>0.06707099798</v>
      </c>
      <c r="K10" s="18">
        <f t="shared" si="2"/>
        <v>0.106713907</v>
      </c>
      <c r="L10" s="18">
        <f t="shared" si="3"/>
        <v>0.1483408726</v>
      </c>
      <c r="M10" s="128">
        <f t="shared" si="4"/>
        <v>71325076.7</v>
      </c>
      <c r="N10" s="124">
        <f t="shared" si="5"/>
        <v>0.009254880398</v>
      </c>
      <c r="O10" s="39">
        <f t="shared" si="6"/>
        <v>113482396.7</v>
      </c>
      <c r="P10" s="124">
        <f t="shared" si="7"/>
        <v>0.01100841219</v>
      </c>
      <c r="Q10" s="128">
        <f t="shared" si="8"/>
        <v>157749615.1</v>
      </c>
      <c r="R10" s="124">
        <f t="shared" si="9"/>
        <v>0.01172343787</v>
      </c>
    </row>
    <row r="11" ht="15.75" customHeight="1">
      <c r="A11" s="14" t="s">
        <v>89</v>
      </c>
      <c r="B11" s="119" t="s">
        <v>302</v>
      </c>
      <c r="C11" s="120">
        <v>2.469364791E8</v>
      </c>
      <c r="D11" s="123">
        <f>'Pomocná data V. PAF'!I148</f>
        <v>1</v>
      </c>
      <c r="E11" s="124">
        <f>'Pomocná data V. PAF'!I149</f>
        <v>1</v>
      </c>
      <c r="F11" s="123">
        <f>'Pomocná data V. PAF'!I141</f>
        <v>1</v>
      </c>
      <c r="G11" s="124">
        <f>'Pomocná data V. PAF'!I142</f>
        <v>1</v>
      </c>
      <c r="H11" s="123">
        <f>'Pomocná data V. PAF'!I155</f>
        <v>1</v>
      </c>
      <c r="I11" s="124">
        <f>'Pomocná data V. PAF'!I156</f>
        <v>1</v>
      </c>
      <c r="J11" s="123">
        <f t="shared" si="1"/>
        <v>1</v>
      </c>
      <c r="K11" s="18">
        <f t="shared" si="2"/>
        <v>1</v>
      </c>
      <c r="L11" s="18">
        <f t="shared" si="3"/>
        <v>1</v>
      </c>
      <c r="M11" s="128">
        <f t="shared" si="4"/>
        <v>246936479.1</v>
      </c>
      <c r="N11" s="124">
        <f t="shared" si="5"/>
        <v>0.03204157199</v>
      </c>
      <c r="O11" s="39">
        <f t="shared" si="6"/>
        <v>246936479.1</v>
      </c>
      <c r="P11" s="124">
        <f t="shared" si="7"/>
        <v>0.02395418695</v>
      </c>
      <c r="Q11" s="128">
        <f t="shared" si="8"/>
        <v>246936479.1</v>
      </c>
      <c r="R11" s="124">
        <f t="shared" si="9"/>
        <v>0.01835151526</v>
      </c>
    </row>
    <row r="12" ht="15.75" customHeight="1">
      <c r="A12" s="14" t="s">
        <v>303</v>
      </c>
      <c r="B12" s="119" t="s">
        <v>304</v>
      </c>
      <c r="C12" s="120">
        <v>1.425141889E9</v>
      </c>
      <c r="D12" s="123">
        <f>'Pomocná data V. PAF'!J148</f>
        <v>0.009929275993</v>
      </c>
      <c r="E12" s="124">
        <f>'Pomocná data V. PAF'!J149</f>
        <v>0.0371403282</v>
      </c>
      <c r="F12" s="123">
        <f>'Pomocná data V. PAF'!J141</f>
        <v>0.09731829033</v>
      </c>
      <c r="G12" s="124">
        <f>'Pomocná data V. PAF'!J142</f>
        <v>0.2304777197</v>
      </c>
      <c r="H12" s="123">
        <f>'Pomocná data V. PAF'!J155</f>
        <v>0.19399853</v>
      </c>
      <c r="I12" s="124">
        <f>'Pomocná data V. PAF'!J156</f>
        <v>0.4475234993</v>
      </c>
      <c r="J12" s="123">
        <f t="shared" si="1"/>
        <v>0.0235348021</v>
      </c>
      <c r="K12" s="18">
        <f t="shared" si="2"/>
        <v>0.163898005</v>
      </c>
      <c r="L12" s="18">
        <f t="shared" si="3"/>
        <v>0.3207610147</v>
      </c>
      <c r="M12" s="128">
        <f t="shared" si="4"/>
        <v>33540432.32</v>
      </c>
      <c r="N12" s="124">
        <f t="shared" si="5"/>
        <v>0.004352083502</v>
      </c>
      <c r="O12" s="39">
        <f t="shared" si="6"/>
        <v>233577912.5</v>
      </c>
      <c r="P12" s="124">
        <f t="shared" si="7"/>
        <v>0.02265833304</v>
      </c>
      <c r="Q12" s="128">
        <f t="shared" si="8"/>
        <v>457129958.4</v>
      </c>
      <c r="R12" s="124">
        <f t="shared" si="9"/>
        <v>0.03397241039</v>
      </c>
    </row>
    <row r="13" ht="15.75" customHeight="1">
      <c r="A13" s="14" t="s">
        <v>305</v>
      </c>
      <c r="B13" s="119" t="s">
        <v>306</v>
      </c>
      <c r="C13" s="120">
        <v>5.568459041E9</v>
      </c>
      <c r="D13" s="123">
        <f>'Pomocná data V. PAF'!K148</f>
        <v>0.3061673</v>
      </c>
      <c r="E13" s="124">
        <f>'Pomocná data V. PAF'!K149</f>
        <v>0.1664386103</v>
      </c>
      <c r="F13" s="123">
        <f>'Pomocná data V. PAF'!K141</f>
        <v>0.4451560076</v>
      </c>
      <c r="G13" s="124">
        <f>'Pomocná data V. PAF'!K142</f>
        <v>0.178863055</v>
      </c>
      <c r="H13" s="123">
        <f>'Pomocná data V. PAF'!K155</f>
        <v>0.5756243146</v>
      </c>
      <c r="I13" s="124">
        <f>'Pomocná data V. PAF'!K156</f>
        <v>0.1909225602</v>
      </c>
      <c r="J13" s="123">
        <f t="shared" si="1"/>
        <v>0.2363029551</v>
      </c>
      <c r="K13" s="18">
        <f t="shared" si="2"/>
        <v>0.3120095313</v>
      </c>
      <c r="L13" s="18">
        <f t="shared" si="3"/>
        <v>0.3832734374</v>
      </c>
      <c r="M13" s="128">
        <f t="shared" si="4"/>
        <v>1315843327</v>
      </c>
      <c r="N13" s="124">
        <f t="shared" si="5"/>
        <v>0.1707390048</v>
      </c>
      <c r="O13" s="39">
        <f t="shared" si="6"/>
        <v>1737412295</v>
      </c>
      <c r="P13" s="124">
        <f t="shared" si="7"/>
        <v>0.1685384804</v>
      </c>
      <c r="Q13" s="128">
        <f t="shared" si="8"/>
        <v>2134242438</v>
      </c>
      <c r="R13" s="124">
        <f t="shared" si="9"/>
        <v>0.1586099502</v>
      </c>
    </row>
    <row r="14" ht="15.75" customHeight="1">
      <c r="A14" s="14" t="s">
        <v>307</v>
      </c>
      <c r="B14" s="119" t="s">
        <v>308</v>
      </c>
      <c r="C14" s="120">
        <v>5.349683359E8</v>
      </c>
      <c r="D14" s="123">
        <f>'Pomocná data V. PAF'!L148</f>
        <v>0.2875774866</v>
      </c>
      <c r="E14" s="124">
        <f>'Pomocná data V. PAF'!L149</f>
        <v>0.2675647657</v>
      </c>
      <c r="F14" s="123">
        <f>'Pomocná data V. PAF'!L141</f>
        <v>0.3862435079</v>
      </c>
      <c r="G14" s="124">
        <f>'Pomocná data V. PAF'!L142</f>
        <v>0.3628617647</v>
      </c>
      <c r="H14" s="123">
        <f>'Pomocná data V. PAF'!L155</f>
        <v>0.4832550754</v>
      </c>
      <c r="I14" s="124">
        <f>'Pomocná data V. PAF'!L156</f>
        <v>0.4583866787</v>
      </c>
      <c r="J14" s="123">
        <f t="shared" si="1"/>
        <v>0.2775711261</v>
      </c>
      <c r="K14" s="18">
        <f t="shared" si="2"/>
        <v>0.3745526363</v>
      </c>
      <c r="L14" s="18">
        <f t="shared" si="3"/>
        <v>0.470820877</v>
      </c>
      <c r="M14" s="128">
        <f t="shared" si="4"/>
        <v>148491763.4</v>
      </c>
      <c r="N14" s="124">
        <f t="shared" si="5"/>
        <v>0.01926774669</v>
      </c>
      <c r="O14" s="39">
        <f t="shared" si="6"/>
        <v>200373800.6</v>
      </c>
      <c r="P14" s="124">
        <f t="shared" si="7"/>
        <v>0.01943735286</v>
      </c>
      <c r="Q14" s="128">
        <f t="shared" si="8"/>
        <v>251874261.1</v>
      </c>
      <c r="R14" s="124">
        <f t="shared" si="9"/>
        <v>0.01871847514</v>
      </c>
    </row>
    <row r="15" ht="15.75" customHeight="1">
      <c r="A15" s="14" t="s">
        <v>309</v>
      </c>
      <c r="B15" s="119" t="s">
        <v>310</v>
      </c>
      <c r="C15" s="120">
        <v>2.1655072E8</v>
      </c>
      <c r="D15" s="129"/>
      <c r="E15" s="124">
        <f>'Pomocná data V. PAF'!M149</f>
        <v>0.30234748</v>
      </c>
      <c r="F15" s="129"/>
      <c r="G15" s="124">
        <f>'Pomocná data V. PAF'!M142</f>
        <v>0.3349813446</v>
      </c>
      <c r="H15" s="129"/>
      <c r="I15" s="124">
        <f>'Pomocná data V. PAF'!M156</f>
        <v>0.3674341544</v>
      </c>
      <c r="J15" s="123">
        <f t="shared" si="1"/>
        <v>0.30234748</v>
      </c>
      <c r="K15" s="18">
        <f t="shared" si="2"/>
        <v>0.3349813446</v>
      </c>
      <c r="L15" s="18">
        <f t="shared" si="3"/>
        <v>0.3674341544</v>
      </c>
      <c r="M15" s="128">
        <f t="shared" si="4"/>
        <v>65473564.48</v>
      </c>
      <c r="N15" s="124">
        <f t="shared" si="5"/>
        <v>0.00849560963</v>
      </c>
      <c r="O15" s="39">
        <f t="shared" si="6"/>
        <v>72540451.37</v>
      </c>
      <c r="P15" s="124">
        <f t="shared" si="7"/>
        <v>0.007036819914</v>
      </c>
      <c r="Q15" s="128">
        <f t="shared" si="8"/>
        <v>79568130.68</v>
      </c>
      <c r="R15" s="124">
        <f t="shared" si="9"/>
        <v>0.005913244449</v>
      </c>
    </row>
    <row r="16" ht="15.75" customHeight="1">
      <c r="A16" s="14" t="s">
        <v>311</v>
      </c>
      <c r="B16" s="119" t="s">
        <v>312</v>
      </c>
      <c r="C16" s="120">
        <v>1.705026588E9</v>
      </c>
      <c r="D16" s="123">
        <f>'Pomocná data V. PAF'!N148</f>
        <v>0.1326522084</v>
      </c>
      <c r="E16" s="124">
        <f>'Pomocná data V. PAF'!N149</f>
        <v>0.2397694876</v>
      </c>
      <c r="F16" s="123">
        <f>'Pomocná data V. PAF'!N141</f>
        <v>0.1705316662</v>
      </c>
      <c r="G16" s="124">
        <f>'Pomocná data V. PAF'!N142</f>
        <v>0.2711983368</v>
      </c>
      <c r="H16" s="123">
        <f>'Pomocná data V. PAF'!N155</f>
        <v>0.2083957237</v>
      </c>
      <c r="I16" s="124">
        <f>'Pomocná data V. PAF'!N156</f>
        <v>0.3012413652</v>
      </c>
      <c r="J16" s="123">
        <f t="shared" si="1"/>
        <v>0.186210848</v>
      </c>
      <c r="K16" s="18">
        <f t="shared" si="2"/>
        <v>0.2208650015</v>
      </c>
      <c r="L16" s="18">
        <f t="shared" si="3"/>
        <v>0.2548185445</v>
      </c>
      <c r="M16" s="128">
        <f t="shared" si="4"/>
        <v>317494446.8</v>
      </c>
      <c r="N16" s="124">
        <f t="shared" si="5"/>
        <v>0.04119691514</v>
      </c>
      <c r="O16" s="39">
        <f t="shared" si="6"/>
        <v>376580699.9</v>
      </c>
      <c r="P16" s="124">
        <f t="shared" si="7"/>
        <v>0.03653038434</v>
      </c>
      <c r="Q16" s="128">
        <f t="shared" si="8"/>
        <v>434472393.5</v>
      </c>
      <c r="R16" s="124">
        <f t="shared" si="9"/>
        <v>0.03228857392</v>
      </c>
    </row>
    <row r="17" ht="15.75" customHeight="1">
      <c r="A17" s="14" t="s">
        <v>313</v>
      </c>
      <c r="B17" s="119" t="s">
        <v>314</v>
      </c>
      <c r="C17" s="120">
        <v>3.946005783E9</v>
      </c>
      <c r="D17" s="129"/>
      <c r="E17" s="124">
        <f>'Pomocná data V. PAF'!O149</f>
        <v>0.0112177175</v>
      </c>
      <c r="F17" s="129"/>
      <c r="G17" s="124">
        <f>'Pomocná data V. PAF'!O142</f>
        <v>0.0286518128</v>
      </c>
      <c r="H17" s="129"/>
      <c r="I17" s="124">
        <f>'Pomocná data V. PAF'!O156</f>
        <v>0.04754459477</v>
      </c>
      <c r="J17" s="123">
        <f t="shared" si="1"/>
        <v>0.0112177175</v>
      </c>
      <c r="K17" s="18">
        <f t="shared" si="2"/>
        <v>0.0286518128</v>
      </c>
      <c r="L17" s="18">
        <f t="shared" si="3"/>
        <v>0.04754459477</v>
      </c>
      <c r="M17" s="128">
        <f t="shared" si="4"/>
        <v>44265178.13</v>
      </c>
      <c r="N17" s="124">
        <f t="shared" si="5"/>
        <v>0.00574368719</v>
      </c>
      <c r="O17" s="39">
        <f t="shared" si="6"/>
        <v>113060219</v>
      </c>
      <c r="P17" s="124">
        <f t="shared" si="7"/>
        <v>0.01096745864</v>
      </c>
      <c r="Q17" s="128">
        <f t="shared" si="8"/>
        <v>187611245.9</v>
      </c>
      <c r="R17" s="124">
        <f t="shared" si="9"/>
        <v>0.01394265706</v>
      </c>
    </row>
    <row r="18" ht="15.75" customHeight="1">
      <c r="A18" s="14" t="s">
        <v>315</v>
      </c>
      <c r="B18" s="119" t="s">
        <v>316</v>
      </c>
      <c r="C18" s="120">
        <v>4.375246794E8</v>
      </c>
      <c r="D18" s="123">
        <f>'Pomocná data V. PAF'!P148</f>
        <v>0.1401317768</v>
      </c>
      <c r="E18" s="124">
        <f>'Pomocná data V. PAF'!P149</f>
        <v>0.0371403282</v>
      </c>
      <c r="F18" s="123">
        <f>'Pomocná data V. PAF'!P141</f>
        <v>0.244388022</v>
      </c>
      <c r="G18" s="124">
        <f>'Pomocná data V. PAF'!P142</f>
        <v>0.1198266174</v>
      </c>
      <c r="H18" s="123">
        <f>'Pomocná data V. PAF'!P155</f>
        <v>0.3544554752</v>
      </c>
      <c r="I18" s="124">
        <f>'Pomocná data V. PAF'!P156</f>
        <v>0.2140092324</v>
      </c>
      <c r="J18" s="123">
        <f t="shared" si="1"/>
        <v>0.0886360525</v>
      </c>
      <c r="K18" s="18">
        <f t="shared" si="2"/>
        <v>0.1821073197</v>
      </c>
      <c r="L18" s="18">
        <f t="shared" si="3"/>
        <v>0.2842323538</v>
      </c>
      <c r="M18" s="128">
        <f t="shared" si="4"/>
        <v>38780460.45</v>
      </c>
      <c r="N18" s="124">
        <f t="shared" si="5"/>
        <v>0.005032010337</v>
      </c>
      <c r="O18" s="39">
        <f t="shared" si="6"/>
        <v>79676446.68</v>
      </c>
      <c r="P18" s="124">
        <f t="shared" si="7"/>
        <v>0.007729050427</v>
      </c>
      <c r="Q18" s="128">
        <f t="shared" si="8"/>
        <v>124358669.5</v>
      </c>
      <c r="R18" s="124">
        <f t="shared" si="9"/>
        <v>0.009241931484</v>
      </c>
    </row>
    <row r="19" ht="15.75" customHeight="1">
      <c r="A19" s="14" t="s">
        <v>317</v>
      </c>
      <c r="B19" s="119" t="s">
        <v>318</v>
      </c>
      <c r="C19" s="120">
        <v>2.243937944E9</v>
      </c>
      <c r="D19" s="123">
        <f>'Pomocná data V. PAF'!Q148</f>
        <v>0.1288634152</v>
      </c>
      <c r="E19" s="124">
        <f>'Pomocná data V. PAF'!Q149</f>
        <v>0.1055358693</v>
      </c>
      <c r="F19" s="123">
        <f>'Pomocná data V. PAF'!Q141</f>
        <v>0.1923664496</v>
      </c>
      <c r="G19" s="124">
        <f>'Pomocná data V. PAF'!Q142</f>
        <v>0.1302485548</v>
      </c>
      <c r="H19" s="123">
        <f>'Pomocná data V. PAF'!Q155</f>
        <v>0.2584367945</v>
      </c>
      <c r="I19" s="124">
        <f>'Pomocná data V. PAF'!Q156</f>
        <v>0.1552546593</v>
      </c>
      <c r="J19" s="123">
        <f t="shared" si="1"/>
        <v>0.1171996422</v>
      </c>
      <c r="K19" s="18">
        <f t="shared" si="2"/>
        <v>0.1613075022</v>
      </c>
      <c r="L19" s="18">
        <f t="shared" si="3"/>
        <v>0.2068457269</v>
      </c>
      <c r="M19" s="128">
        <f t="shared" si="4"/>
        <v>262988724.2</v>
      </c>
      <c r="N19" s="124">
        <f t="shared" si="5"/>
        <v>0.03412445246</v>
      </c>
      <c r="O19" s="39">
        <f t="shared" si="6"/>
        <v>361964024.9</v>
      </c>
      <c r="P19" s="124">
        <f t="shared" si="7"/>
        <v>0.03511248704</v>
      </c>
      <c r="Q19" s="128">
        <f t="shared" si="8"/>
        <v>464148975.2</v>
      </c>
      <c r="R19" s="124">
        <f t="shared" si="9"/>
        <v>0.03449404086</v>
      </c>
    </row>
    <row r="20" ht="15.75" customHeight="1">
      <c r="A20" s="14" t="s">
        <v>319</v>
      </c>
      <c r="B20" s="119" t="s">
        <v>320</v>
      </c>
      <c r="C20" s="120">
        <v>5.96674561E8</v>
      </c>
      <c r="D20" s="129"/>
      <c r="E20" s="124">
        <f>'Pomocná data V. PAF'!R149</f>
        <v>0.04340998709</v>
      </c>
      <c r="F20" s="129"/>
      <c r="G20" s="124">
        <f>'Pomocná data V. PAF'!R142</f>
        <v>0.05973671393</v>
      </c>
      <c r="H20" s="129"/>
      <c r="I20" s="124">
        <f>'Pomocná data V. PAF'!R156</f>
        <v>0.07551547609</v>
      </c>
      <c r="J20" s="123">
        <f t="shared" si="1"/>
        <v>0.04340998709</v>
      </c>
      <c r="K20" s="18">
        <f t="shared" si="2"/>
        <v>0.05973671393</v>
      </c>
      <c r="L20" s="18">
        <f t="shared" si="3"/>
        <v>0.07551547609</v>
      </c>
      <c r="M20" s="128">
        <f t="shared" si="4"/>
        <v>25901634.99</v>
      </c>
      <c r="N20" s="124">
        <f t="shared" si="5"/>
        <v>0.003360901173</v>
      </c>
      <c r="O20" s="39">
        <f t="shared" si="6"/>
        <v>35643377.56</v>
      </c>
      <c r="P20" s="124">
        <f t="shared" si="7"/>
        <v>0.003457602266</v>
      </c>
      <c r="Q20" s="128">
        <f t="shared" si="8"/>
        <v>45058163.54</v>
      </c>
      <c r="R20" s="124">
        <f t="shared" si="9"/>
        <v>0.003348576034</v>
      </c>
    </row>
    <row r="21" ht="15.75" customHeight="1">
      <c r="A21" s="14" t="s">
        <v>321</v>
      </c>
      <c r="B21" s="119" t="s">
        <v>322</v>
      </c>
      <c r="C21" s="120">
        <v>1.353212891E8</v>
      </c>
      <c r="D21" s="123">
        <f>'Pomocná data V. PAF'!S148</f>
        <v>0.0408802125</v>
      </c>
      <c r="E21" s="124">
        <f>'Pomocná data V. PAF'!S149</f>
        <v>0.06769285185</v>
      </c>
      <c r="F21" s="123">
        <f>'Pomocná data V. PAF'!S141</f>
        <v>0.1054168303</v>
      </c>
      <c r="G21" s="124">
        <f>'Pomocná data V. PAF'!S142</f>
        <v>0.1568707056</v>
      </c>
      <c r="H21" s="123">
        <f>'Pomocná data V. PAF'!S155</f>
        <v>0.1756746022</v>
      </c>
      <c r="I21" s="124">
        <f>'Pomocná data V. PAF'!S156</f>
        <v>0.2539259179</v>
      </c>
      <c r="J21" s="123">
        <f t="shared" si="1"/>
        <v>0.05428653218</v>
      </c>
      <c r="K21" s="18">
        <f t="shared" si="2"/>
        <v>0.131143768</v>
      </c>
      <c r="L21" s="18">
        <f t="shared" si="3"/>
        <v>0.21480026</v>
      </c>
      <c r="M21" s="128">
        <f t="shared" si="4"/>
        <v>7346123.515</v>
      </c>
      <c r="N21" s="124">
        <f t="shared" si="5"/>
        <v>0.0009532060484</v>
      </c>
      <c r="O21" s="39">
        <f t="shared" si="6"/>
        <v>17746543.74</v>
      </c>
      <c r="P21" s="124">
        <f t="shared" si="7"/>
        <v>0.001721511653</v>
      </c>
      <c r="Q21" s="128">
        <f t="shared" si="8"/>
        <v>29067048.09</v>
      </c>
      <c r="R21" s="124">
        <f t="shared" si="9"/>
        <v>0.00216016839</v>
      </c>
    </row>
    <row r="22" ht="15.75" customHeight="1">
      <c r="A22" s="14" t="s">
        <v>323</v>
      </c>
      <c r="B22" s="119" t="s">
        <v>324</v>
      </c>
      <c r="C22" s="120">
        <v>3.05893477E9</v>
      </c>
      <c r="D22" s="123">
        <f>'Pomocná data V. PAF'!T148</f>
        <v>0.05675783492</v>
      </c>
      <c r="E22" s="124">
        <f>'Pomocná data V. PAF'!T149</f>
        <v>0.01563465046</v>
      </c>
      <c r="F22" s="123">
        <f>'Pomocná data V. PAF'!T141</f>
        <v>0.1653241542</v>
      </c>
      <c r="G22" s="124">
        <f>'Pomocná data V. PAF'!T142</f>
        <v>0.1503691352</v>
      </c>
      <c r="H22" s="123">
        <f>'Pomocná data V. PAF'!T155</f>
        <v>0.2850233102</v>
      </c>
      <c r="I22" s="124">
        <f>'Pomocná data V. PAF'!T156</f>
        <v>0.3067371403</v>
      </c>
      <c r="J22" s="123">
        <f t="shared" si="1"/>
        <v>0.03619624269</v>
      </c>
      <c r="K22" s="18">
        <f t="shared" si="2"/>
        <v>0.1578466447</v>
      </c>
      <c r="L22" s="18">
        <f t="shared" si="3"/>
        <v>0.2958802252</v>
      </c>
      <c r="M22" s="128">
        <f t="shared" si="4"/>
        <v>110721945.3</v>
      </c>
      <c r="N22" s="124">
        <f t="shared" si="5"/>
        <v>0.0143668736</v>
      </c>
      <c r="O22" s="39">
        <f t="shared" si="6"/>
        <v>482842589.8</v>
      </c>
      <c r="P22" s="124">
        <f t="shared" si="7"/>
        <v>0.04683836793</v>
      </c>
      <c r="Q22" s="128">
        <f t="shared" si="8"/>
        <v>905078308.7</v>
      </c>
      <c r="R22" s="124">
        <f t="shared" si="9"/>
        <v>0.06726247354</v>
      </c>
    </row>
    <row r="23" ht="15.75" customHeight="1">
      <c r="A23" s="101" t="s">
        <v>325</v>
      </c>
      <c r="B23" s="130" t="s">
        <v>326</v>
      </c>
      <c r="C23" s="131">
        <v>3.035693282E9</v>
      </c>
      <c r="D23" s="132">
        <f>'Pomocná data V. PAF'!U148</f>
        <v>0.1133713479</v>
      </c>
      <c r="E23" s="133">
        <f>'Pomocná data V. PAF'!U149</f>
        <v>0.1180652966</v>
      </c>
      <c r="F23" s="132">
        <f>'Pomocná data V. PAF'!U141</f>
        <v>0.1739673911</v>
      </c>
      <c r="G23" s="133">
        <f>'Pomocná data V. PAF'!U142</f>
        <v>0.2436833364</v>
      </c>
      <c r="H23" s="132">
        <f>'Pomocná data V. PAF'!U155</f>
        <v>0.2371621134</v>
      </c>
      <c r="I23" s="133">
        <f>'Pomocná data V. PAF'!U156</f>
        <v>0.3772659949</v>
      </c>
      <c r="J23" s="132">
        <f t="shared" si="1"/>
        <v>0.1157183222</v>
      </c>
      <c r="K23" s="134">
        <f t="shared" si="2"/>
        <v>0.2088253637</v>
      </c>
      <c r="L23" s="134">
        <f t="shared" si="3"/>
        <v>0.3072140541</v>
      </c>
      <c r="M23" s="135">
        <f t="shared" si="4"/>
        <v>351285333.4</v>
      </c>
      <c r="N23" s="133">
        <f t="shared" si="5"/>
        <v>0.04558149667</v>
      </c>
      <c r="O23" s="136">
        <f t="shared" si="6"/>
        <v>633929753.7</v>
      </c>
      <c r="P23" s="133">
        <f t="shared" si="7"/>
        <v>0.06149464789</v>
      </c>
      <c r="Q23" s="135">
        <f t="shared" si="8"/>
        <v>932607640.3</v>
      </c>
      <c r="R23" s="133">
        <f t="shared" si="9"/>
        <v>0.06930836385</v>
      </c>
    </row>
    <row r="24" ht="15.75" customHeight="1">
      <c r="M24" s="137">
        <f t="shared" ref="M24:R24" si="10">SUM(M4:M23)</f>
        <v>7706752938</v>
      </c>
      <c r="N24" s="138">
        <f t="shared" si="10"/>
        <v>1</v>
      </c>
      <c r="O24" s="137">
        <f t="shared" si="10"/>
        <v>10308698000</v>
      </c>
      <c r="P24" s="138">
        <f t="shared" si="10"/>
        <v>1</v>
      </c>
      <c r="Q24" s="137">
        <f t="shared" si="10"/>
        <v>13455917705</v>
      </c>
      <c r="R24" s="138">
        <f t="shared" si="10"/>
        <v>1</v>
      </c>
    </row>
    <row r="25" ht="15.75" customHeight="1"/>
    <row r="26" ht="15.75" customHeight="1">
      <c r="A26" s="139" t="s">
        <v>327</v>
      </c>
      <c r="B26" s="24">
        <v>5954020.0</v>
      </c>
    </row>
    <row r="27" ht="15.75" customHeight="1">
      <c r="A27" s="14" t="s">
        <v>328</v>
      </c>
      <c r="B27" s="47">
        <f>('Pomocná data I. Odhady prevalen'!B219+'Pomocná data I. Odhady prevalen'!C219)/B26</f>
        <v>1.766320402</v>
      </c>
    </row>
    <row r="28" ht="15.75" customHeight="1">
      <c r="B28" s="24">
        <f>('Pomocná data I. Odhady prevalen'!B219+'Pomocná data I. Odhady prevalen'!C219)</f>
        <v>10516707</v>
      </c>
      <c r="O28" s="100"/>
    </row>
    <row r="29" ht="15.75" customHeight="1">
      <c r="B29" s="39"/>
    </row>
    <row r="30" ht="15.75" customHeight="1">
      <c r="B30" s="39"/>
    </row>
    <row r="31" ht="15.75" customHeight="1">
      <c r="B31" s="140"/>
    </row>
    <row r="32" ht="15.75" customHeight="1">
      <c r="B32" s="39"/>
    </row>
    <row r="33" ht="15.75" customHeight="1">
      <c r="B33" s="39"/>
    </row>
    <row r="34" ht="15.75" customHeight="1">
      <c r="B34" s="39"/>
    </row>
    <row r="35" ht="15.75" customHeight="1">
      <c r="B35" s="39"/>
    </row>
    <row r="36" ht="15.75" customHeight="1">
      <c r="B36" s="39"/>
    </row>
    <row r="37" ht="15.75" customHeight="1">
      <c r="B37" s="39"/>
    </row>
    <row r="38" ht="15.75" customHeight="1">
      <c r="B38" s="39"/>
    </row>
    <row r="39" ht="15.75" customHeight="1">
      <c r="B39" s="39"/>
    </row>
    <row r="40" ht="15.75" customHeight="1">
      <c r="B40" s="39"/>
    </row>
    <row r="41" ht="15.75" customHeight="1">
      <c r="B41" s="39"/>
    </row>
    <row r="42" ht="15.75" customHeight="1">
      <c r="B42" s="39"/>
      <c r="O42" s="100"/>
    </row>
    <row r="43" ht="15.75" customHeight="1">
      <c r="B43" s="39"/>
      <c r="O43" s="100"/>
    </row>
    <row r="44" ht="15.75" customHeight="1">
      <c r="B44" s="39"/>
    </row>
    <row r="45" ht="15.75" customHeight="1">
      <c r="B45" s="39"/>
    </row>
    <row r="46" ht="15.75" customHeight="1">
      <c r="B46" s="39"/>
    </row>
    <row r="47" ht="15.75" customHeight="1">
      <c r="B47" s="39"/>
    </row>
    <row r="48" ht="15.75" customHeight="1">
      <c r="B48" s="39"/>
    </row>
    <row r="49" ht="15.75" customHeight="1">
      <c r="B49" s="39"/>
    </row>
    <row r="50" ht="15.75" customHeight="1">
      <c r="B50" s="39"/>
    </row>
    <row r="51" ht="15.75" customHeight="1">
      <c r="B51" s="39"/>
    </row>
    <row r="52" ht="15.75" customHeight="1">
      <c r="B52" s="39"/>
    </row>
    <row r="53" ht="15.75" customHeight="1">
      <c r="B53" s="39"/>
    </row>
    <row r="54" ht="15.75" customHeight="1">
      <c r="B54" s="39"/>
    </row>
    <row r="55" ht="15.75" customHeight="1">
      <c r="B55" s="39"/>
    </row>
    <row r="56" ht="15.75" customHeight="1">
      <c r="B56" s="39"/>
    </row>
    <row r="57" ht="15.75" customHeight="1">
      <c r="B57" s="39"/>
    </row>
    <row r="58" ht="15.75" customHeight="1">
      <c r="B58" s="39"/>
    </row>
    <row r="59" ht="15.75" customHeight="1">
      <c r="B59" s="39"/>
    </row>
    <row r="60" ht="15.75" customHeight="1">
      <c r="B60" s="39"/>
    </row>
    <row r="61" ht="15.75" customHeight="1">
      <c r="B61" s="39"/>
    </row>
    <row r="62" ht="15.75" customHeight="1">
      <c r="B62" s="39"/>
    </row>
    <row r="63" ht="15.75" customHeight="1">
      <c r="B63" s="39"/>
    </row>
    <row r="64" ht="15.75" customHeight="1">
      <c r="B64" s="39"/>
    </row>
    <row r="65" ht="15.75" customHeight="1">
      <c r="B65" s="39"/>
    </row>
    <row r="66" ht="15.75" customHeight="1">
      <c r="B66" s="39"/>
    </row>
    <row r="67" ht="15.75" customHeight="1">
      <c r="B67" s="39"/>
    </row>
    <row r="68" ht="15.75" customHeight="1">
      <c r="B68" s="39"/>
    </row>
    <row r="69" ht="15.75" customHeight="1">
      <c r="B69" s="39"/>
    </row>
    <row r="70" ht="15.75" customHeight="1">
      <c r="B70" s="39"/>
    </row>
    <row r="71" ht="15.75" customHeight="1">
      <c r="B71" s="39"/>
    </row>
    <row r="72" ht="15.75" customHeight="1">
      <c r="B72" s="39"/>
    </row>
    <row r="73" ht="15.75" customHeight="1">
      <c r="B73" s="39"/>
    </row>
    <row r="74" ht="15.75" customHeight="1">
      <c r="B74" s="39"/>
    </row>
    <row r="75" ht="15.75" customHeight="1">
      <c r="B75" s="39"/>
    </row>
    <row r="76" ht="15.75" customHeight="1">
      <c r="B76" s="39"/>
    </row>
    <row r="77" ht="15.75" customHeight="1">
      <c r="B77" s="39"/>
    </row>
    <row r="78" ht="15.75" customHeight="1">
      <c r="B78" s="39"/>
    </row>
    <row r="79" ht="15.75" customHeight="1">
      <c r="B79" s="39"/>
    </row>
    <row r="80" ht="15.75" customHeight="1">
      <c r="B80" s="39"/>
    </row>
    <row r="81" ht="15.75" customHeight="1">
      <c r="B81" s="39"/>
    </row>
    <row r="82" ht="15.75" customHeight="1">
      <c r="B82" s="39"/>
    </row>
    <row r="83" ht="15.75" customHeight="1">
      <c r="B83" s="39"/>
    </row>
    <row r="84" ht="15.75" customHeight="1">
      <c r="B84" s="39"/>
    </row>
    <row r="85" ht="15.75" customHeight="1">
      <c r="B85" s="39"/>
    </row>
    <row r="86" ht="15.75" customHeight="1">
      <c r="B86" s="39"/>
    </row>
    <row r="87" ht="15.75" customHeight="1">
      <c r="B87" s="39"/>
    </row>
    <row r="88" ht="15.75" customHeight="1">
      <c r="B88" s="39"/>
    </row>
    <row r="89" ht="15.75" customHeight="1">
      <c r="B89" s="39"/>
    </row>
    <row r="90" ht="15.75" customHeight="1">
      <c r="B90" s="39"/>
    </row>
    <row r="91" ht="15.75" customHeight="1">
      <c r="B91" s="39"/>
    </row>
    <row r="92" ht="15.75" customHeight="1">
      <c r="B92" s="39"/>
    </row>
    <row r="93" ht="15.75" customHeight="1">
      <c r="B93" s="39"/>
    </row>
    <row r="94" ht="15.75" customHeight="1">
      <c r="B94" s="39"/>
    </row>
    <row r="95" ht="15.75" customHeight="1">
      <c r="B95" s="39"/>
    </row>
    <row r="96" ht="15.75" customHeight="1">
      <c r="B96" s="39"/>
    </row>
    <row r="97" ht="15.75" customHeight="1">
      <c r="B97" s="39"/>
    </row>
    <row r="98" ht="15.75" customHeight="1">
      <c r="B98" s="39"/>
    </row>
    <row r="99" ht="15.75" customHeight="1">
      <c r="B99" s="39"/>
    </row>
    <row r="100" ht="15.75" customHeight="1">
      <c r="B100" s="39"/>
    </row>
    <row r="101" ht="15.75" customHeight="1">
      <c r="B101" s="39"/>
    </row>
    <row r="102" ht="15.75" customHeight="1">
      <c r="B102" s="39"/>
    </row>
    <row r="103" ht="15.75" customHeight="1">
      <c r="B103" s="39"/>
    </row>
    <row r="104" ht="15.75" customHeight="1">
      <c r="B104" s="39"/>
    </row>
    <row r="105" ht="15.75" customHeight="1">
      <c r="B105" s="39"/>
    </row>
    <row r="106" ht="15.75" customHeight="1">
      <c r="B106" s="39"/>
    </row>
    <row r="107" ht="15.75" customHeight="1">
      <c r="B107" s="39"/>
    </row>
    <row r="108" ht="15.75" customHeight="1">
      <c r="B108" s="39"/>
    </row>
    <row r="109" ht="15.75" customHeight="1">
      <c r="B109" s="39"/>
    </row>
    <row r="110" ht="15.75" customHeight="1">
      <c r="B110" s="39"/>
    </row>
    <row r="111" ht="15.75" customHeight="1">
      <c r="B111" s="39"/>
    </row>
    <row r="112" ht="15.75" customHeight="1">
      <c r="B112" s="39"/>
    </row>
    <row r="113" ht="15.75" customHeight="1">
      <c r="B113" s="39"/>
    </row>
    <row r="114" ht="15.75" customHeight="1">
      <c r="B114" s="39"/>
    </row>
    <row r="115" ht="15.75" customHeight="1">
      <c r="B115" s="39"/>
    </row>
    <row r="116" ht="15.75" customHeight="1">
      <c r="B116" s="39"/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</sheetData>
  <mergeCells count="9">
    <mergeCell ref="O3:P3"/>
    <mergeCell ref="Q3:R3"/>
    <mergeCell ref="A1:B2"/>
    <mergeCell ref="C1:R1"/>
    <mergeCell ref="D2:E2"/>
    <mergeCell ref="F2:G2"/>
    <mergeCell ref="H2:I2"/>
    <mergeCell ref="M2:R2"/>
    <mergeCell ref="M3:N3"/>
  </mergeCells>
  <hyperlinks>
    <hyperlink r:id="rId1" ref="A26"/>
  </hyperlinks>
  <printOptions/>
  <pageMargins bottom="0.787401575" footer="0.0" header="0.0" left="0.7" right="0.7" top="0.787401575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1.25"/>
    <col customWidth="1" min="2" max="2" width="13.88"/>
    <col customWidth="1" min="3" max="3" width="12.25"/>
    <col customWidth="1" min="4" max="4" width="14.75"/>
    <col customWidth="1" min="5" max="10" width="11.25"/>
    <col customWidth="1" min="11" max="11" width="14.13"/>
    <col customWidth="1" min="12" max="15" width="11.25"/>
  </cols>
  <sheetData>
    <row r="1" ht="18.75" customHeight="1">
      <c r="A1" s="14"/>
      <c r="B1" s="14"/>
      <c r="C1" s="14"/>
      <c r="D1" s="141"/>
      <c r="E1" s="141"/>
      <c r="F1" s="141"/>
      <c r="G1" s="141"/>
      <c r="H1" s="108" t="s">
        <v>329</v>
      </c>
      <c r="I1" s="142"/>
      <c r="J1" s="109"/>
      <c r="K1" s="143" t="s">
        <v>330</v>
      </c>
      <c r="L1" s="108" t="s">
        <v>331</v>
      </c>
      <c r="M1" s="142"/>
      <c r="N1" s="109"/>
    </row>
    <row r="2" ht="15.75" customHeight="1">
      <c r="A2" s="14" t="s">
        <v>332</v>
      </c>
      <c r="B2" s="14" t="s">
        <v>333</v>
      </c>
      <c r="C2" s="14" t="s">
        <v>334</v>
      </c>
      <c r="D2" s="14" t="s">
        <v>335</v>
      </c>
      <c r="E2" s="14" t="s">
        <v>336</v>
      </c>
      <c r="F2" s="14" t="s">
        <v>337</v>
      </c>
      <c r="G2" s="14" t="s">
        <v>338</v>
      </c>
      <c r="H2" s="107" t="s">
        <v>285</v>
      </c>
      <c r="I2" s="107" t="s">
        <v>339</v>
      </c>
      <c r="J2" s="107" t="s">
        <v>287</v>
      </c>
      <c r="K2" s="144"/>
      <c r="L2" s="107" t="s">
        <v>285</v>
      </c>
      <c r="M2" s="107" t="s">
        <v>339</v>
      </c>
      <c r="N2" s="107" t="s">
        <v>287</v>
      </c>
    </row>
    <row r="3" ht="15.75" customHeight="1">
      <c r="A3" s="13" t="s">
        <v>340</v>
      </c>
      <c r="B3" s="14" t="s">
        <v>341</v>
      </c>
      <c r="C3" s="145" t="s">
        <v>342</v>
      </c>
      <c r="D3" s="146">
        <v>0.0</v>
      </c>
      <c r="E3" s="14">
        <v>2.35</v>
      </c>
      <c r="F3" s="14">
        <v>1.0</v>
      </c>
      <c r="G3" s="14" t="s">
        <v>89</v>
      </c>
      <c r="H3" s="123">
        <v>1.0</v>
      </c>
      <c r="I3" s="18">
        <v>1.0</v>
      </c>
      <c r="J3" s="124">
        <v>1.0</v>
      </c>
      <c r="K3" s="147">
        <f>D3*'Dílčí výpočet I.Zdravotní nákla'!$B$27</f>
        <v>0</v>
      </c>
      <c r="L3" s="126">
        <f>H3*K3</f>
        <v>0</v>
      </c>
      <c r="M3" s="127">
        <f>K3*I3</f>
        <v>0</v>
      </c>
      <c r="N3" s="148">
        <f>J3*K3</f>
        <v>0</v>
      </c>
    </row>
    <row r="4" ht="15.75" customHeight="1">
      <c r="A4" s="13" t="s">
        <v>343</v>
      </c>
      <c r="B4" s="14" t="s">
        <v>344</v>
      </c>
      <c r="C4" s="145" t="s">
        <v>345</v>
      </c>
      <c r="D4" s="149">
        <v>3143.5</v>
      </c>
      <c r="E4" s="14">
        <v>2274.0</v>
      </c>
      <c r="F4" s="14">
        <v>0.57</v>
      </c>
      <c r="G4" s="14" t="s">
        <v>346</v>
      </c>
      <c r="H4" s="123">
        <f>AVERAGE('Pomocná data V. PAF'!D148:D149)</f>
        <v>0.5892614745</v>
      </c>
      <c r="I4" s="18">
        <f>AVERAGE('Pomocná data V. PAF'!D141:D142)</f>
        <v>0.6556922928</v>
      </c>
      <c r="J4" s="124">
        <f>AVERAGE('Pomocná data V. PAF'!D155:D156)</f>
        <v>0.7139341425</v>
      </c>
      <c r="K4" s="147">
        <f>D4*'Dílčí výpočet I.Zdravotní nákla'!$B$27</f>
        <v>5552.428184</v>
      </c>
      <c r="L4" s="128">
        <f>H4*K4*0.212</f>
        <v>693.628388</v>
      </c>
      <c r="M4" s="39">
        <f>K4*I4*0.212</f>
        <v>771.8250857</v>
      </c>
      <c r="N4" s="150">
        <f>J4*K4*0.212</f>
        <v>840.3824274</v>
      </c>
      <c r="O4" s="14" t="s">
        <v>347</v>
      </c>
    </row>
    <row r="5" ht="15.75" customHeight="1">
      <c r="A5" s="13" t="s">
        <v>348</v>
      </c>
      <c r="B5" s="14" t="s">
        <v>349</v>
      </c>
      <c r="C5" s="145" t="s">
        <v>350</v>
      </c>
      <c r="D5" s="149">
        <v>1751.03732988</v>
      </c>
      <c r="E5" s="14">
        <v>900.2</v>
      </c>
      <c r="F5" s="14">
        <v>0.19</v>
      </c>
      <c r="G5" s="14" t="s">
        <v>351</v>
      </c>
      <c r="H5" s="123">
        <f>AVERAGE('Pomocná data V. PAF'!E148:E149,'Pomocná data V. PAF'!H148:H149,'Pomocná data V. PAF'!T148:T149)</f>
        <v>0.1018386737</v>
      </c>
      <c r="I5" s="18">
        <f>AVERAGE('Pomocná data V. PAF'!E141:E142,'Pomocná data V. PAF'!H141:H142,'Pomocná data V. PAF'!T141:T142)</f>
        <v>0.1674590101</v>
      </c>
      <c r="J5" s="124">
        <f>AVERAGE('Pomocná data V. PAF'!E155:E156,'Pomocná data V. PAF'!H155:H156,'Pomocná data V. PAF'!T155:T156)</f>
        <v>0.2593332017</v>
      </c>
      <c r="K5" s="147">
        <f>D5*'Dílčí výpočet I.Zdravotní nákla'!$B$27</f>
        <v>3092.89296</v>
      </c>
      <c r="L5" s="128">
        <f t="shared" ref="L5:L14" si="1">H5*K5</f>
        <v>314.9761169</v>
      </c>
      <c r="M5" s="39">
        <f t="shared" ref="M5:M14" si="2">K5*I5</f>
        <v>517.9327934</v>
      </c>
      <c r="N5" s="150">
        <f t="shared" ref="N5:N14" si="3">J5*K5</f>
        <v>802.0898339</v>
      </c>
    </row>
    <row r="6" ht="15.75" customHeight="1">
      <c r="B6" s="14" t="s">
        <v>352</v>
      </c>
      <c r="C6" s="145" t="s">
        <v>353</v>
      </c>
      <c r="D6" s="149">
        <v>246.11959301</v>
      </c>
      <c r="E6" s="14">
        <v>555.5</v>
      </c>
      <c r="F6" s="14">
        <v>0.19</v>
      </c>
      <c r="G6" s="14" t="s">
        <v>351</v>
      </c>
      <c r="H6" s="123">
        <f>AVERAGE('Pomocná data V. PAF'!E148:E149,'Pomocná data V. PAF'!H148:H149,'Pomocná data V. PAF'!T148:T149)</f>
        <v>0.1018386737</v>
      </c>
      <c r="I6" s="18">
        <f>AVERAGE('Pomocná data V. PAF'!E141:E142,'Pomocná data V. PAF'!H141:H142,'Pomocná data V. PAF'!T141:T142)</f>
        <v>0.1674590101</v>
      </c>
      <c r="J6" s="124">
        <f>AVERAGE('Pomocná data V. PAF'!E155:E156,'Pomocná data V. PAF'!H155:H156,'Pomocná data V. PAF'!T155:T156)</f>
        <v>0.2593332017</v>
      </c>
      <c r="K6" s="147">
        <f>D6*'Dílčí výpočet I.Zdravotní nákla'!$B$27</f>
        <v>434.7260585</v>
      </c>
      <c r="L6" s="128">
        <f t="shared" si="1"/>
        <v>44.27192521</v>
      </c>
      <c r="M6" s="39">
        <f t="shared" si="2"/>
        <v>72.7987954</v>
      </c>
      <c r="N6" s="150">
        <f t="shared" si="3"/>
        <v>112.7389006</v>
      </c>
    </row>
    <row r="7" ht="15.75" customHeight="1">
      <c r="B7" s="14" t="s">
        <v>354</v>
      </c>
      <c r="C7" s="145" t="s">
        <v>355</v>
      </c>
      <c r="D7" s="149">
        <v>226.39998906</v>
      </c>
      <c r="E7" s="14">
        <v>511.1</v>
      </c>
      <c r="F7" s="14">
        <v>0.2</v>
      </c>
      <c r="G7" s="14" t="s">
        <v>356</v>
      </c>
      <c r="H7" s="123">
        <f>AVERAGE('Pomocná data V. PAF'!U148:U149)</f>
        <v>0.1157183222</v>
      </c>
      <c r="I7" s="18">
        <f>AVERAGE('Pomocná data V. PAF'!U141:U142)</f>
        <v>0.2088253637</v>
      </c>
      <c r="J7" s="124">
        <f>AVERAGE('Pomocná data V. PAF'!U155:U156)</f>
        <v>0.3072140541</v>
      </c>
      <c r="K7" s="147">
        <f>D7*'Dílčí výpočet I.Zdravotní nákla'!$B$27</f>
        <v>399.8949197</v>
      </c>
      <c r="L7" s="128">
        <f t="shared" si="1"/>
        <v>46.27516918</v>
      </c>
      <c r="M7" s="39">
        <f t="shared" si="2"/>
        <v>83.50820205</v>
      </c>
      <c r="N7" s="150">
        <f t="shared" si="3"/>
        <v>122.8533395</v>
      </c>
    </row>
    <row r="8" ht="15.75" customHeight="1">
      <c r="B8" s="145" t="s">
        <v>357</v>
      </c>
      <c r="C8" s="145" t="s">
        <v>358</v>
      </c>
      <c r="D8" s="149">
        <v>239.38407965</v>
      </c>
      <c r="E8" s="14">
        <v>320.9</v>
      </c>
      <c r="F8" s="14">
        <v>0.2</v>
      </c>
      <c r="G8" s="14" t="s">
        <v>356</v>
      </c>
      <c r="H8" s="123">
        <f>AVERAGE('Pomocná data V. PAF'!U148:U149)</f>
        <v>0.1157183222</v>
      </c>
      <c r="I8" s="18">
        <f>AVERAGE('Pomocná data V. PAF'!U141:U142)</f>
        <v>0.2088253637</v>
      </c>
      <c r="J8" s="124">
        <f>AVERAGE('Pomocná data V. PAF'!U155:U156)</f>
        <v>0.3072140541</v>
      </c>
      <c r="K8" s="147">
        <f>D8*'Dílčí výpočet I.Zdravotní nákla'!$B$27</f>
        <v>422.8289838</v>
      </c>
      <c r="L8" s="128">
        <f t="shared" si="1"/>
        <v>48.9290606</v>
      </c>
      <c r="M8" s="39">
        <f t="shared" si="2"/>
        <v>88.29741633</v>
      </c>
      <c r="N8" s="150">
        <f t="shared" si="3"/>
        <v>129.8990063</v>
      </c>
    </row>
    <row r="9" ht="15.75" customHeight="1">
      <c r="B9" s="14" t="s">
        <v>359</v>
      </c>
      <c r="C9" s="14" t="s">
        <v>360</v>
      </c>
      <c r="D9" s="149">
        <v>303.29546435</v>
      </c>
      <c r="E9" s="14">
        <v>985.9</v>
      </c>
      <c r="F9" s="14">
        <v>0.2</v>
      </c>
      <c r="G9" s="14" t="s">
        <v>356</v>
      </c>
      <c r="H9" s="123">
        <f>AVERAGE('Pomocná data V. PAF'!U148:U149)</f>
        <v>0.1157183222</v>
      </c>
      <c r="I9" s="18">
        <f>AVERAGE('Pomocná data V. PAF'!U141:U142)</f>
        <v>0.2088253637</v>
      </c>
      <c r="J9" s="124">
        <f>AVERAGE('Pomocná data V. PAF'!U155:U156)</f>
        <v>0.3072140541</v>
      </c>
      <c r="K9" s="147">
        <f>D9*'Dílčí výpočet I.Zdravotní nákla'!$B$27</f>
        <v>535.7169665</v>
      </c>
      <c r="L9" s="128">
        <f t="shared" si="1"/>
        <v>61.99226856</v>
      </c>
      <c r="M9" s="39">
        <f t="shared" si="2"/>
        <v>111.8712904</v>
      </c>
      <c r="N9" s="150">
        <f t="shared" si="3"/>
        <v>164.5797812</v>
      </c>
    </row>
    <row r="10" ht="15.75" customHeight="1">
      <c r="B10" s="14" t="s">
        <v>361</v>
      </c>
      <c r="C10" s="145" t="s">
        <v>362</v>
      </c>
      <c r="D10" s="149">
        <v>204.20576455</v>
      </c>
      <c r="E10" s="14">
        <v>1222.0</v>
      </c>
      <c r="F10" s="14">
        <v>0.2</v>
      </c>
      <c r="G10" s="14" t="s">
        <v>356</v>
      </c>
      <c r="H10" s="123">
        <f>AVERAGE('Pomocná data V. PAF'!U148:U149)</f>
        <v>0.1157183222</v>
      </c>
      <c r="I10" s="18">
        <f>AVERAGE('Pomocná data V. PAF'!U141:U142)</f>
        <v>0.2088253637</v>
      </c>
      <c r="J10" s="124">
        <f>AVERAGE('Pomocná data V. PAF'!U155:U156)</f>
        <v>0.3072140541</v>
      </c>
      <c r="K10" s="147">
        <f>D10*'Dílčí výpočet I.Zdravotní nákla'!$B$27</f>
        <v>360.6928081</v>
      </c>
      <c r="L10" s="128">
        <f t="shared" si="1"/>
        <v>41.7387666</v>
      </c>
      <c r="M10" s="39">
        <f t="shared" si="2"/>
        <v>75.32180685</v>
      </c>
      <c r="N10" s="150">
        <f t="shared" si="3"/>
        <v>110.8098999</v>
      </c>
    </row>
    <row r="11" ht="15.75" customHeight="1">
      <c r="B11" s="14" t="s">
        <v>363</v>
      </c>
      <c r="C11" s="145" t="s">
        <v>364</v>
      </c>
      <c r="D11" s="149">
        <v>1353.97494313</v>
      </c>
      <c r="E11" s="14">
        <v>2911.7</v>
      </c>
      <c r="F11" s="14">
        <v>0.2</v>
      </c>
      <c r="G11" s="14" t="s">
        <v>356</v>
      </c>
      <c r="H11" s="123">
        <f>AVERAGE('Pomocná data V. PAF'!U148:U149)</f>
        <v>0.1157183222</v>
      </c>
      <c r="I11" s="18">
        <f>AVERAGE('Pomocná data V. PAF'!U141:U142)</f>
        <v>0.2088253637</v>
      </c>
      <c r="J11" s="124">
        <f>AVERAGE('Pomocná data V. PAF'!U155:U156)</f>
        <v>0.3072140541</v>
      </c>
      <c r="K11" s="147">
        <f>D11*'Dílčí výpočet I.Zdravotní nákla'!$B$27</f>
        <v>2391.553566</v>
      </c>
      <c r="L11" s="128">
        <f t="shared" si="1"/>
        <v>276.7465662</v>
      </c>
      <c r="M11" s="39">
        <f t="shared" si="2"/>
        <v>499.4170432</v>
      </c>
      <c r="N11" s="150">
        <f t="shared" si="3"/>
        <v>734.7188666</v>
      </c>
    </row>
    <row r="12" ht="15.75" customHeight="1">
      <c r="B12" s="14" t="s">
        <v>365</v>
      </c>
      <c r="C12" s="145" t="s">
        <v>366</v>
      </c>
      <c r="D12" s="149">
        <v>1266.23152024</v>
      </c>
      <c r="E12" s="14">
        <v>2353.3</v>
      </c>
      <c r="F12" s="14">
        <v>0.19</v>
      </c>
      <c r="G12" s="14" t="s">
        <v>351</v>
      </c>
      <c r="H12" s="123">
        <f>AVERAGE('Pomocná data V. PAF'!E148:E149,'Pomocná data V. PAF'!H148:H149,'Pomocná data V. PAF'!T148:T149)</f>
        <v>0.1018386737</v>
      </c>
      <c r="I12" s="18">
        <f>AVERAGE('Pomocná data V. PAF'!E141:E142,'Pomocná data V. PAF'!H141:H142,'Pomocná data V. PAF'!T141:T142)</f>
        <v>0.1674590101</v>
      </c>
      <c r="J12" s="124">
        <f>AVERAGE('Pomocná data V. PAF'!E155:E156,'Pomocná data V. PAF'!H155:H156,'Pomocná data V. PAF'!T155:T156)</f>
        <v>0.2593332017</v>
      </c>
      <c r="K12" s="147">
        <f>D12*'Dílčí výpočet I.Zdravotní nákla'!$B$27</f>
        <v>2236.570568</v>
      </c>
      <c r="L12" s="128">
        <f t="shared" si="1"/>
        <v>227.7693802</v>
      </c>
      <c r="M12" s="39">
        <f t="shared" si="2"/>
        <v>374.5338932</v>
      </c>
      <c r="N12" s="150">
        <f t="shared" si="3"/>
        <v>580.0170062</v>
      </c>
    </row>
    <row r="13" ht="15.75" customHeight="1">
      <c r="A13" s="13" t="s">
        <v>367</v>
      </c>
      <c r="B13" s="14" t="s">
        <v>368</v>
      </c>
      <c r="C13" s="14" t="s">
        <v>369</v>
      </c>
      <c r="D13" s="149">
        <v>253.904159</v>
      </c>
      <c r="E13" s="14">
        <v>3795.5</v>
      </c>
      <c r="F13" s="14">
        <v>0.052</v>
      </c>
      <c r="G13" s="14" t="s">
        <v>370</v>
      </c>
      <c r="H13" s="123">
        <f>AVERAGE('Pomocná data V. PAF'!Q148:Q149,0,'Pomocná data V. PAF'!O149)</f>
        <v>0.06140425049</v>
      </c>
      <c r="I13" s="18">
        <f>AVERAGE('Pomocná data V. PAF'!Q141:Q142,0,'Pomocná data V. PAF'!O142)</f>
        <v>0.0878167043</v>
      </c>
      <c r="J13" s="124">
        <f>AVERAGE('Pomocná data V. PAF'!Q155:Q156,0,'Pomocná data V. PAF'!O156)</f>
        <v>0.1153090121</v>
      </c>
      <c r="K13" s="147">
        <f>D13*'Dílčí výpočet I.Zdravotní nákla'!$B$27</f>
        <v>448.4760962</v>
      </c>
      <c r="L13" s="128">
        <f t="shared" si="1"/>
        <v>27.53833855</v>
      </c>
      <c r="M13" s="39">
        <f t="shared" si="2"/>
        <v>39.38369273</v>
      </c>
      <c r="N13" s="150">
        <f t="shared" si="3"/>
        <v>51.71333562</v>
      </c>
    </row>
    <row r="14" ht="15.75" customHeight="1">
      <c r="A14" s="13" t="s">
        <v>371</v>
      </c>
      <c r="B14" s="14" t="s">
        <v>372</v>
      </c>
      <c r="C14" s="145" t="s">
        <v>373</v>
      </c>
      <c r="D14" s="151">
        <v>206.08203078</v>
      </c>
      <c r="E14" s="14">
        <v>10.3</v>
      </c>
      <c r="F14" s="14">
        <v>0.25</v>
      </c>
      <c r="G14" s="14" t="s">
        <v>374</v>
      </c>
      <c r="H14" s="132">
        <f>AVERAGE('Pomocná data V. PAF'!C148:C149)</f>
        <v>0.2326073024</v>
      </c>
      <c r="I14" s="134">
        <f>AVERAGE('Pomocná data V. PAF'!C141:C142)</f>
        <v>0.3016381928</v>
      </c>
      <c r="J14" s="133">
        <f>AVERAGE('Pomocná data V. PAF'!C155:C156)</f>
        <v>0.3717417256</v>
      </c>
      <c r="K14" s="152">
        <f>D14*'Dílčí výpočet I.Zdravotní nákla'!$B$27</f>
        <v>364.0068955</v>
      </c>
      <c r="L14" s="135">
        <f t="shared" si="1"/>
        <v>84.670662</v>
      </c>
      <c r="M14" s="136">
        <f t="shared" si="2"/>
        <v>109.7983821</v>
      </c>
      <c r="N14" s="153">
        <f t="shared" si="3"/>
        <v>135.3165514</v>
      </c>
    </row>
    <row r="15" ht="15.75" customHeight="1">
      <c r="C15" s="14"/>
      <c r="D15" s="14"/>
    </row>
    <row r="16" ht="15.75" customHeight="1">
      <c r="A16" s="154" t="s">
        <v>375</v>
      </c>
      <c r="B16" s="109"/>
    </row>
    <row r="17" ht="15.75" customHeight="1">
      <c r="A17" s="155" t="s">
        <v>285</v>
      </c>
      <c r="B17" s="156">
        <f>SUM(L3:L14)*1000000</f>
        <v>1868536642</v>
      </c>
    </row>
    <row r="18" ht="15.75" customHeight="1">
      <c r="A18" s="157" t="s">
        <v>339</v>
      </c>
      <c r="B18" s="156">
        <f>SUM(M3:M14)*1000000</f>
        <v>2744688401</v>
      </c>
    </row>
    <row r="19" ht="15.75" customHeight="1">
      <c r="A19" s="158" t="s">
        <v>287</v>
      </c>
      <c r="B19" s="159">
        <f>SUM(N3:N14)*1000000</f>
        <v>3785118949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H1:J1"/>
    <mergeCell ref="K1:K2"/>
    <mergeCell ref="L1:N1"/>
    <mergeCell ref="A16:B16"/>
  </mergeCells>
  <printOptions/>
  <pageMargins bottom="0.787401575" footer="0.0" header="0.0" left="0.7" right="0.7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6.5"/>
    <col customWidth="1" min="2" max="2" width="11.38"/>
    <col customWidth="1" min="3" max="3" width="15.88"/>
    <col customWidth="1" min="4" max="4" width="14.13"/>
    <col customWidth="1" min="5" max="5" width="9.75"/>
    <col customWidth="1" min="6" max="23" width="11.25"/>
    <col customWidth="1" min="24" max="24" width="23.75"/>
    <col customWidth="1" min="25" max="25" width="10.63"/>
    <col customWidth="1" min="26" max="26" width="8.88"/>
    <col customWidth="1" min="27" max="27" width="12.13"/>
    <col customWidth="1" min="28" max="28" width="12.25"/>
    <col customWidth="1" min="29" max="29" width="12.13"/>
    <col customWidth="1" min="30" max="30" width="11.38"/>
    <col customWidth="1" min="31" max="32" width="15.0"/>
    <col customWidth="1" min="33" max="33" width="11.38"/>
  </cols>
  <sheetData>
    <row r="1" ht="15.75" customHeight="1">
      <c r="A1" s="160" t="s">
        <v>376</v>
      </c>
      <c r="B1" s="161"/>
      <c r="C1" s="162"/>
      <c r="D1" s="163"/>
      <c r="E1" s="163"/>
      <c r="G1" s="163"/>
      <c r="I1" s="163"/>
    </row>
    <row r="2" ht="15.75" customHeight="1">
      <c r="A2" s="163" t="s">
        <v>377</v>
      </c>
      <c r="B2" s="163"/>
      <c r="C2" s="163"/>
      <c r="D2" s="163"/>
      <c r="E2" s="163"/>
      <c r="F2" s="162"/>
      <c r="G2" s="163"/>
      <c r="H2" s="163"/>
      <c r="I2" s="163"/>
    </row>
    <row r="3" ht="15.75" customHeight="1">
      <c r="A3" s="163"/>
      <c r="B3" s="164" t="s">
        <v>285</v>
      </c>
      <c r="C3" s="165"/>
      <c r="D3" s="166" t="s">
        <v>339</v>
      </c>
      <c r="E3" s="167"/>
      <c r="F3" s="165"/>
      <c r="G3" s="168" t="s">
        <v>287</v>
      </c>
      <c r="H3" s="165"/>
    </row>
    <row r="4" ht="15.75" customHeight="1">
      <c r="A4" s="169"/>
      <c r="B4" s="170" t="s">
        <v>378</v>
      </c>
      <c r="C4" s="171" t="s">
        <v>379</v>
      </c>
      <c r="D4" s="172" t="s">
        <v>378</v>
      </c>
      <c r="E4" s="172" t="s">
        <v>380</v>
      </c>
      <c r="F4" s="171" t="s">
        <v>379</v>
      </c>
      <c r="G4" s="172" t="s">
        <v>378</v>
      </c>
      <c r="H4" s="171" t="s">
        <v>379</v>
      </c>
    </row>
    <row r="5" ht="15.75" customHeight="1">
      <c r="A5" s="173" t="s">
        <v>381</v>
      </c>
      <c r="B5" s="174">
        <f>B23</f>
        <v>2058825.801</v>
      </c>
      <c r="C5" s="174">
        <f>H23</f>
        <v>3725994794</v>
      </c>
      <c r="D5" s="175">
        <f>D23</f>
        <v>2705920.924</v>
      </c>
      <c r="E5" s="176">
        <f>J23</f>
        <v>4426520449</v>
      </c>
      <c r="F5" s="177">
        <f>L23</f>
        <v>4896059763</v>
      </c>
      <c r="G5" s="178">
        <f>F23</f>
        <v>3407336.517</v>
      </c>
      <c r="H5" s="179">
        <f>N23</f>
        <v>6163272013</v>
      </c>
      <c r="L5" s="163" t="s">
        <v>382</v>
      </c>
      <c r="M5" s="163"/>
      <c r="N5" s="163"/>
      <c r="O5" s="163"/>
      <c r="P5" s="88" t="str">
        <f>HYPERLINK("https://www.uzis.cz/category/tematicke-rady/zdravotnicka-statistika/pracovni-neschopnost","zdroj ÚZIS 2017")</f>
        <v>zdroj ÚZIS 2017</v>
      </c>
    </row>
    <row r="6" ht="15.75" customHeight="1">
      <c r="A6" s="180" t="s">
        <v>383</v>
      </c>
      <c r="B6" s="174">
        <f>C23</f>
        <v>1647593.369</v>
      </c>
      <c r="C6" s="174">
        <f>I23</f>
        <v>2601858754</v>
      </c>
      <c r="D6" s="181">
        <f>E23</f>
        <v>2137889.581</v>
      </c>
      <c r="E6" s="182">
        <f>K23</f>
        <v>2819512741</v>
      </c>
      <c r="F6" s="183">
        <f>M23</f>
        <v>3375972021</v>
      </c>
      <c r="G6" s="184">
        <f>G23</f>
        <v>2638413.414</v>
      </c>
      <c r="H6" s="185">
        <f>O23</f>
        <v>4166169868</v>
      </c>
      <c r="L6" s="186">
        <f>D7/68904598</f>
        <v>0.07029734801</v>
      </c>
      <c r="M6" s="163" t="s">
        <v>384</v>
      </c>
      <c r="N6" s="163"/>
      <c r="O6" s="163"/>
    </row>
    <row r="7" ht="15.75" customHeight="1">
      <c r="A7" s="187" t="s">
        <v>68</v>
      </c>
      <c r="B7" s="188">
        <f t="shared" ref="B7:C7" si="1">SUM(B5:B6)</f>
        <v>3706419.17</v>
      </c>
      <c r="C7" s="189">
        <f t="shared" si="1"/>
        <v>6327853548</v>
      </c>
      <c r="D7" s="190">
        <f>D5+D6</f>
        <v>4843810.505</v>
      </c>
      <c r="E7" s="191">
        <f t="shared" ref="E7:H7" si="2">SUM(E5:E6)</f>
        <v>7246033190</v>
      </c>
      <c r="F7" s="191">
        <f t="shared" si="2"/>
        <v>8272031784</v>
      </c>
      <c r="G7" s="184">
        <f t="shared" si="2"/>
        <v>6045749.932</v>
      </c>
      <c r="H7" s="185">
        <f t="shared" si="2"/>
        <v>10329441882</v>
      </c>
    </row>
    <row r="8" ht="15.75" customHeight="1"/>
    <row r="9" ht="15.75" customHeight="1">
      <c r="A9" s="163"/>
      <c r="B9" s="163"/>
      <c r="C9" s="163"/>
      <c r="D9" s="163"/>
      <c r="E9" s="163"/>
      <c r="F9" s="163"/>
      <c r="G9" s="163"/>
      <c r="H9" s="163"/>
      <c r="I9" s="163"/>
      <c r="Y9" s="14"/>
    </row>
    <row r="10" ht="15.75" customHeight="1">
      <c r="A10" s="192"/>
      <c r="B10" s="193" t="s">
        <v>385</v>
      </c>
      <c r="C10" s="194"/>
      <c r="D10" s="194"/>
      <c r="E10" s="194"/>
      <c r="F10" s="194"/>
      <c r="G10" s="195"/>
      <c r="H10" s="196" t="s">
        <v>386</v>
      </c>
      <c r="I10" s="10"/>
      <c r="J10" s="196" t="s">
        <v>387</v>
      </c>
      <c r="K10" s="90"/>
      <c r="L10" s="90"/>
      <c r="M10" s="10"/>
      <c r="N10" s="197" t="s">
        <v>388</v>
      </c>
      <c r="O10" s="10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</row>
    <row r="11" ht="15.75" customHeight="1">
      <c r="A11" s="20"/>
      <c r="B11" s="199" t="s">
        <v>386</v>
      </c>
      <c r="C11" s="10"/>
      <c r="D11" s="199" t="s">
        <v>387</v>
      </c>
      <c r="E11" s="10"/>
      <c r="F11" s="199" t="s">
        <v>388</v>
      </c>
      <c r="G11" s="10"/>
      <c r="H11" s="199" t="s">
        <v>379</v>
      </c>
      <c r="I11" s="10"/>
      <c r="J11" s="197" t="s">
        <v>380</v>
      </c>
      <c r="K11" s="10"/>
      <c r="L11" s="197" t="s">
        <v>379</v>
      </c>
      <c r="M11" s="10"/>
      <c r="N11" s="199" t="s">
        <v>379</v>
      </c>
      <c r="O11" s="10"/>
      <c r="P11" s="198" t="s">
        <v>389</v>
      </c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</row>
    <row r="12" ht="15.75" customHeight="1">
      <c r="A12" s="200" t="s">
        <v>390</v>
      </c>
      <c r="B12" s="201" t="s">
        <v>283</v>
      </c>
      <c r="C12" s="202" t="s">
        <v>284</v>
      </c>
      <c r="D12" s="201" t="s">
        <v>283</v>
      </c>
      <c r="E12" s="202" t="s">
        <v>284</v>
      </c>
      <c r="F12" s="201" t="s">
        <v>283</v>
      </c>
      <c r="G12" s="202" t="s">
        <v>284</v>
      </c>
      <c r="H12" s="201" t="s">
        <v>283</v>
      </c>
      <c r="I12" s="202" t="s">
        <v>284</v>
      </c>
      <c r="J12" s="201" t="s">
        <v>283</v>
      </c>
      <c r="K12" s="202" t="s">
        <v>284</v>
      </c>
      <c r="L12" s="203" t="s">
        <v>283</v>
      </c>
      <c r="M12" s="204" t="s">
        <v>284</v>
      </c>
      <c r="N12" s="201" t="s">
        <v>283</v>
      </c>
      <c r="O12" s="202" t="s">
        <v>284</v>
      </c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</row>
    <row r="13" ht="15.75" customHeight="1">
      <c r="A13" s="205" t="s">
        <v>391</v>
      </c>
      <c r="B13" s="206">
        <f t="shared" ref="B13:B21" si="3">V57</f>
        <v>43837.83107</v>
      </c>
      <c r="C13" s="207">
        <f t="shared" ref="C13:C21" si="4">V70</f>
        <v>27288.43534</v>
      </c>
      <c r="D13" s="206">
        <f t="shared" ref="D13:D21" si="5">V29</f>
        <v>59309.96827</v>
      </c>
      <c r="E13" s="207">
        <f t="shared" ref="E13:E21" si="6">V42</f>
        <v>37038.18125</v>
      </c>
      <c r="F13" s="206">
        <f t="shared" ref="F13:F21" si="7">V85</f>
        <v>76655.87329</v>
      </c>
      <c r="G13" s="207">
        <f t="shared" ref="G13:G21" si="8">V98</f>
        <v>48459.66589</v>
      </c>
      <c r="H13" s="206">
        <f>B13/30.5*'Pomocná data IV.Mzdy a další př'!G6</f>
        <v>68886091.09</v>
      </c>
      <c r="I13" s="207">
        <f>C13/30.5*'Pomocná data IV.Mzdy a další př'!H6</f>
        <v>41048457.82</v>
      </c>
      <c r="J13" s="24">
        <f>(D13/30.5)*'Pomocná data IV.Mzdy a další př'!E6</f>
        <v>82907129.48</v>
      </c>
      <c r="K13" s="207">
        <f>(E13/30.5)*'Pomocná data IV.Mzdy a další př'!F6</f>
        <v>46073991.66</v>
      </c>
      <c r="L13" s="208">
        <f>(D13/30.5)*'Pomocná data IV.Mzdy a další př'!G6</f>
        <v>93198768.66</v>
      </c>
      <c r="M13" s="209">
        <f>(E13/30.5)*'Pomocná data IV.Mzdy a další př'!H6</f>
        <v>55714451.98</v>
      </c>
      <c r="N13" s="206">
        <f>F13/30.5*'Pomocná data IV.Mzdy a další př'!G6</f>
        <v>120455856.1</v>
      </c>
      <c r="O13" s="207">
        <f>G13/30.5*'Pomocná data IV.Mzdy a další př'!H6</f>
        <v>72895148.66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</row>
    <row r="14" ht="15.75" customHeight="1">
      <c r="A14" s="205" t="s">
        <v>392</v>
      </c>
      <c r="B14" s="206">
        <f t="shared" si="3"/>
        <v>69131.96556</v>
      </c>
      <c r="C14" s="207">
        <f t="shared" si="4"/>
        <v>53664.73869</v>
      </c>
      <c r="D14" s="206">
        <f t="shared" si="5"/>
        <v>93338.18208</v>
      </c>
      <c r="E14" s="207">
        <f t="shared" si="6"/>
        <v>70924.61334</v>
      </c>
      <c r="F14" s="206">
        <f t="shared" si="7"/>
        <v>119708.8674</v>
      </c>
      <c r="G14" s="207">
        <f t="shared" si="8"/>
        <v>90499.06024</v>
      </c>
      <c r="H14" s="206">
        <f>B14/30.5*'Pomocná data IV.Mzdy a další př'!G7</f>
        <v>122841267.8</v>
      </c>
      <c r="I14" s="207">
        <f>C14/30.5*'Pomocná data IV.Mzdy a další př'!H7</f>
        <v>86232502.92</v>
      </c>
      <c r="J14" s="24">
        <f>(D14/30.5)*'Pomocná data IV.Mzdy a další př'!E7</f>
        <v>149657217</v>
      </c>
      <c r="K14" s="207">
        <f>(E14/30.5)*'Pomocná data IV.Mzdy a další př'!F7</f>
        <v>95506386.7</v>
      </c>
      <c r="L14" s="208">
        <f>(D14/30.5)*'Pomocná data IV.Mzdy a další př'!G7</f>
        <v>165853531.4</v>
      </c>
      <c r="M14" s="209">
        <f>(E14/30.5)*'Pomocná data IV.Mzdy a další př'!H7</f>
        <v>113966956.3</v>
      </c>
      <c r="N14" s="206">
        <f>F14/30.5*'Pomocná data IV.Mzdy a další př'!G7</f>
        <v>212711860.9</v>
      </c>
      <c r="O14" s="207">
        <f>G14/30.5*'Pomocná data IV.Mzdy a další př'!H7</f>
        <v>145420636.8</v>
      </c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</row>
    <row r="15" ht="15.75" customHeight="1">
      <c r="A15" s="205" t="s">
        <v>393</v>
      </c>
      <c r="B15" s="206">
        <f t="shared" si="3"/>
        <v>131895.1173</v>
      </c>
      <c r="C15" s="207">
        <f t="shared" si="4"/>
        <v>120282.7065</v>
      </c>
      <c r="D15" s="206">
        <f t="shared" si="5"/>
        <v>173758.7054</v>
      </c>
      <c r="E15" s="207">
        <f t="shared" si="6"/>
        <v>159478.5388</v>
      </c>
      <c r="F15" s="206">
        <f t="shared" si="7"/>
        <v>218030.989</v>
      </c>
      <c r="G15" s="207">
        <f t="shared" si="8"/>
        <v>201026.6148</v>
      </c>
      <c r="H15" s="206">
        <f>B15/30.5*'Pomocná data IV.Mzdy a další př'!G8</f>
        <v>252908884</v>
      </c>
      <c r="I15" s="207">
        <f>C15/30.5*'Pomocná data IV.Mzdy a další př'!H8</f>
        <v>190605236.9</v>
      </c>
      <c r="J15" s="24">
        <f>(D15/30.5)*'Pomocná data IV.Mzdy a další př'!E8</f>
        <v>303031194.3</v>
      </c>
      <c r="K15" s="207">
        <f>(E15/30.5)*'Pomocná data IV.Mzdy a další př'!F8</f>
        <v>211206893.1</v>
      </c>
      <c r="L15" s="208">
        <f>(D15/30.5)*'Pomocná data IV.Mzdy a další př'!G8</f>
        <v>333182313.1</v>
      </c>
      <c r="M15" s="209">
        <f>(E15/30.5)*'Pomocná data IV.Mzdy a další př'!H8</f>
        <v>252716666.9</v>
      </c>
      <c r="N15" s="206">
        <f>F15/30.5*'Pomocná data IV.Mzdy a další př'!G8</f>
        <v>418074415.8</v>
      </c>
      <c r="O15" s="207">
        <f>G15/30.5*'Pomocná data IV.Mzdy a další př'!H8</f>
        <v>318555565.1</v>
      </c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</row>
    <row r="16" ht="15.75" customHeight="1">
      <c r="A16" s="205" t="s">
        <v>394</v>
      </c>
      <c r="B16" s="206">
        <f t="shared" si="3"/>
        <v>217392.7703</v>
      </c>
      <c r="C16" s="207">
        <f t="shared" si="4"/>
        <v>219586.4588</v>
      </c>
      <c r="D16" s="206">
        <f t="shared" si="5"/>
        <v>284338.6969</v>
      </c>
      <c r="E16" s="207">
        <f t="shared" si="6"/>
        <v>290894.4918</v>
      </c>
      <c r="F16" s="206">
        <f t="shared" si="7"/>
        <v>354772.4732</v>
      </c>
      <c r="G16" s="207">
        <f t="shared" si="8"/>
        <v>365445.5328</v>
      </c>
      <c r="H16" s="206">
        <f>B16/30.5*'Pomocná data IV.Mzdy a další př'!G9</f>
        <v>433985173.2</v>
      </c>
      <c r="I16" s="207">
        <f>C16/30.5*'Pomocná data IV.Mzdy a další př'!H9</f>
        <v>348120664.1</v>
      </c>
      <c r="J16" s="24">
        <f>(D16/30.5)*'Pomocná data IV.Mzdy a další př'!E9</f>
        <v>518291271.6</v>
      </c>
      <c r="K16" s="207">
        <f>(E16/30.5)*'Pomocná data IV.Mzdy a další př'!F9</f>
        <v>385453322.9</v>
      </c>
      <c r="L16" s="208">
        <f>(D16/30.5)*'Pomocná data IV.Mzdy a další př'!G9</f>
        <v>567630554</v>
      </c>
      <c r="M16" s="209">
        <f>(E16/30.5)*'Pomocná data IV.Mzdy a další př'!H9</f>
        <v>461168617.6</v>
      </c>
      <c r="N16" s="206">
        <f>F16/30.5*'Pomocná data IV.Mzdy a další př'!G9</f>
        <v>708238793</v>
      </c>
      <c r="O16" s="207">
        <f>G16/30.5*'Pomocná data IV.Mzdy a další př'!H9</f>
        <v>579357863.1</v>
      </c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</row>
    <row r="17" ht="15.75" customHeight="1">
      <c r="A17" s="205" t="s">
        <v>395</v>
      </c>
      <c r="B17" s="206">
        <f t="shared" si="3"/>
        <v>254938.3038</v>
      </c>
      <c r="C17" s="207">
        <f t="shared" si="4"/>
        <v>270449.5973</v>
      </c>
      <c r="D17" s="206">
        <f t="shared" si="5"/>
        <v>334615.9682</v>
      </c>
      <c r="E17" s="207">
        <f t="shared" si="6"/>
        <v>355396.3924</v>
      </c>
      <c r="F17" s="206">
        <f t="shared" si="7"/>
        <v>419453.5694</v>
      </c>
      <c r="G17" s="207">
        <f t="shared" si="8"/>
        <v>443189.4661</v>
      </c>
      <c r="H17" s="206">
        <f>B17/30.5*'Pomocná data IV.Mzdy a další př'!G10</f>
        <v>492405971.6</v>
      </c>
      <c r="I17" s="207">
        <f>C17/30.5*'Pomocná data IV.Mzdy a další př'!H10</f>
        <v>424514480.8</v>
      </c>
      <c r="J17" s="24">
        <f>(D17/30.5)*'Pomocná data IV.Mzdy a další př'!E10</f>
        <v>588237537.9</v>
      </c>
      <c r="K17" s="207">
        <f>(E17/30.5)*'Pomocná data IV.Mzdy a další př'!F10</f>
        <v>465348112.7</v>
      </c>
      <c r="L17" s="208">
        <f>(D17/30.5)*'Pomocná data IV.Mzdy a další př'!G10</f>
        <v>646301079.5</v>
      </c>
      <c r="M17" s="209">
        <f>(E17/30.5)*'Pomocná data IV.Mzdy a další př'!H10</f>
        <v>557852245.1</v>
      </c>
      <c r="N17" s="206">
        <f>F17/30.5*'Pomocná data IV.Mzdy a další př'!G10</f>
        <v>810162456.3</v>
      </c>
      <c r="O17" s="207">
        <f>G17/30.5*'Pomocná data IV.Mzdy a další př'!H10</f>
        <v>695657704.8</v>
      </c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</row>
    <row r="18" ht="15.75" customHeight="1">
      <c r="A18" s="205" t="s">
        <v>396</v>
      </c>
      <c r="B18" s="206">
        <f t="shared" si="3"/>
        <v>370148.0873</v>
      </c>
      <c r="C18" s="207">
        <f t="shared" si="4"/>
        <v>354743.5062</v>
      </c>
      <c r="D18" s="206">
        <f t="shared" si="5"/>
        <v>482202.9346</v>
      </c>
      <c r="E18" s="207">
        <f t="shared" si="6"/>
        <v>459623.6943</v>
      </c>
      <c r="F18" s="206">
        <f t="shared" si="7"/>
        <v>604929.0901</v>
      </c>
      <c r="G18" s="207">
        <f t="shared" si="8"/>
        <v>565257.4796</v>
      </c>
      <c r="H18" s="206">
        <f>B18/30.5*'Pomocná data IV.Mzdy a další př'!G11</f>
        <v>679885205.9</v>
      </c>
      <c r="I18" s="207">
        <f>C18/30.5*'Pomocná data IV.Mzdy a další př'!H11</f>
        <v>558463906.8</v>
      </c>
      <c r="J18" s="24">
        <f>(D18/30.5)*'Pomocná data IV.Mzdy a další př'!E11</f>
        <v>802033437.8</v>
      </c>
      <c r="K18" s="207">
        <f>(E18/30.5)*'Pomocná data IV.Mzdy a další př'!F11</f>
        <v>603941314.9</v>
      </c>
      <c r="L18" s="208">
        <f>(D18/30.5)*'Pomocná data IV.Mzdy a další př'!G11</f>
        <v>885706701.5</v>
      </c>
      <c r="M18" s="209">
        <f>(E18/30.5)*'Pomocná data IV.Mzdy a další př'!H11</f>
        <v>723574186.7</v>
      </c>
      <c r="N18" s="206">
        <f>F18/30.5*'Pomocná data IV.Mzdy a další př'!G11</f>
        <v>1111129175</v>
      </c>
      <c r="O18" s="207">
        <f>G18/30.5*'Pomocná data IV.Mzdy a další př'!H11</f>
        <v>889870835.8</v>
      </c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</row>
    <row r="19" ht="15.75" customHeight="1">
      <c r="A19" s="205" t="s">
        <v>397</v>
      </c>
      <c r="B19" s="206">
        <f t="shared" si="3"/>
        <v>445428.0063</v>
      </c>
      <c r="C19" s="207">
        <f t="shared" si="4"/>
        <v>448646.3023</v>
      </c>
      <c r="D19" s="206">
        <f t="shared" si="5"/>
        <v>585098.1998</v>
      </c>
      <c r="E19" s="207">
        <f t="shared" si="6"/>
        <v>570250.9635</v>
      </c>
      <c r="F19" s="206">
        <f t="shared" si="7"/>
        <v>736770.3058</v>
      </c>
      <c r="G19" s="207">
        <f t="shared" si="8"/>
        <v>689600.8706</v>
      </c>
      <c r="H19" s="206">
        <f>B19/30.5*'Pomocná data IV.Mzdy a další př'!G12</f>
        <v>774029289.7</v>
      </c>
      <c r="I19" s="207">
        <f>C19/30.5*'Pomocná data IV.Mzdy a další př'!H12</f>
        <v>696240131.5</v>
      </c>
      <c r="J19" s="24">
        <f>(D19/30.5)*'Pomocná data IV.Mzdy a další př'!E12</f>
        <v>915209069.5</v>
      </c>
      <c r="K19" s="207">
        <f>(E19/30.5)*'Pomocná data IV.Mzdy a další př'!F12</f>
        <v>736527170</v>
      </c>
      <c r="L19" s="208">
        <f>(D19/30.5)*'Pomocná data IV.Mzdy a další př'!G12</f>
        <v>1016737021</v>
      </c>
      <c r="M19" s="209">
        <f>(E19/30.5)*'Pomocná data IV.Mzdy a další př'!H12</f>
        <v>884954592.9</v>
      </c>
      <c r="N19" s="206">
        <f>F19/30.5*'Pomocná data IV.Mzdy a další př'!G12</f>
        <v>1280300718</v>
      </c>
      <c r="O19" s="207">
        <f>G19/30.5*'Pomocná data IV.Mzdy a další př'!H12</f>
        <v>1070169972</v>
      </c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</row>
    <row r="20" ht="15.75" customHeight="1">
      <c r="A20" s="205" t="s">
        <v>398</v>
      </c>
      <c r="B20" s="206">
        <f t="shared" si="3"/>
        <v>526053.7193</v>
      </c>
      <c r="C20" s="207">
        <f t="shared" si="4"/>
        <v>152931.6236</v>
      </c>
      <c r="D20" s="206">
        <f t="shared" si="5"/>
        <v>693258.2688</v>
      </c>
      <c r="E20" s="207">
        <f t="shared" si="6"/>
        <v>194282.7055</v>
      </c>
      <c r="F20" s="206">
        <f t="shared" si="7"/>
        <v>877015.349</v>
      </c>
      <c r="G20" s="207">
        <f t="shared" si="8"/>
        <v>234934.7246</v>
      </c>
      <c r="H20" s="206">
        <f>B20/30.5*'Pomocná data IV.Mzdy a další př'!G13</f>
        <v>901052910.6</v>
      </c>
      <c r="I20" s="207">
        <f>C20/30.5*'Pomocná data IV.Mzdy a další př'!H13</f>
        <v>256633373.3</v>
      </c>
      <c r="J20" s="24">
        <f>(D20/30.5)*'Pomocná data IV.Mzdy a další př'!E13</f>
        <v>1067153592</v>
      </c>
      <c r="K20" s="207">
        <f>(E20/30.5)*'Pomocná data IV.Mzdy a další př'!F13</f>
        <v>275455548.6</v>
      </c>
      <c r="L20" s="208">
        <f>(D20/30.5)*'Pomocná data IV.Mzdy a další př'!G13</f>
        <v>1187449795</v>
      </c>
      <c r="M20" s="209">
        <f>(E20/30.5)*'Pomocná data IV.Mzdy a další př'!H13</f>
        <v>326024303.7</v>
      </c>
      <c r="N20" s="206">
        <f>F20/30.5*'Pomocná data IV.Mzdy a další př'!G13</f>
        <v>1502198737</v>
      </c>
      <c r="O20" s="207">
        <f>G20/30.5*'Pomocná data IV.Mzdy a další př'!H13</f>
        <v>394242142.1</v>
      </c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</row>
    <row r="21" ht="15.75" customHeight="1">
      <c r="A21" s="210" t="s">
        <v>399</v>
      </c>
      <c r="B21" s="206">
        <f t="shared" si="3"/>
        <v>43517.51116</v>
      </c>
      <c r="C21" s="207">
        <f t="shared" si="4"/>
        <v>21194.80974</v>
      </c>
      <c r="D21" s="206">
        <f t="shared" si="5"/>
        <v>54823.1561</v>
      </c>
      <c r="E21" s="207">
        <f t="shared" si="6"/>
        <v>25047.08578</v>
      </c>
      <c r="F21" s="206">
        <f t="shared" si="7"/>
        <v>80306.60922</v>
      </c>
      <c r="G21" s="207">
        <f t="shared" si="8"/>
        <v>32977.51026</v>
      </c>
      <c r="H21" s="206">
        <f>B21/30.5*'Pomocná data IV.Mzdy a další př'!G14</f>
        <v>77932770.16</v>
      </c>
      <c r="I21" s="207">
        <f>C21/30.5*'Pomocná data IV.Mzdy a další př'!H14</f>
        <v>33707276.05</v>
      </c>
      <c r="J21" s="24">
        <f>(D21/30.5)*'Pomocná data IV.Mzdy a další př'!E14</f>
        <v>88666263.28</v>
      </c>
      <c r="K21" s="207">
        <f>(E21/30.5)*'Pomocná data IV.Mzdy a další př'!F14</f>
        <v>33314397.91</v>
      </c>
      <c r="L21" s="208">
        <f>(D21/30.5)*'Pomocná data IV.Mzdy a další př'!G14</f>
        <v>98179337.69</v>
      </c>
      <c r="M21" s="209">
        <f>(E21/30.5)*'Pomocná data IV.Mzdy a další př'!H14</f>
        <v>39833763.3</v>
      </c>
      <c r="N21" s="206">
        <f>F21/30.5*'Pomocná data IV.Mzdy a další př'!G14</f>
        <v>143816049</v>
      </c>
      <c r="O21" s="207">
        <f>G21/30.5*'Pomocná data IV.Mzdy a další př'!H14</f>
        <v>52445955.17</v>
      </c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</row>
    <row r="22" ht="15.75" customHeight="1">
      <c r="A22" s="211" t="s">
        <v>68</v>
      </c>
      <c r="B22" s="212">
        <f t="shared" ref="B22:O22" si="9">SUM(B13:B21)</f>
        <v>2102343.312</v>
      </c>
      <c r="C22" s="213">
        <f t="shared" si="9"/>
        <v>1668788.178</v>
      </c>
      <c r="D22" s="213">
        <f t="shared" si="9"/>
        <v>2760744.08</v>
      </c>
      <c r="E22" s="213">
        <f t="shared" si="9"/>
        <v>2162936.667</v>
      </c>
      <c r="F22" s="213">
        <f t="shared" si="9"/>
        <v>3487643.127</v>
      </c>
      <c r="G22" s="213">
        <f t="shared" si="9"/>
        <v>2671390.925</v>
      </c>
      <c r="H22" s="213">
        <f t="shared" si="9"/>
        <v>3803927564</v>
      </c>
      <c r="I22" s="213">
        <f t="shared" si="9"/>
        <v>2635566030</v>
      </c>
      <c r="J22" s="213">
        <f t="shared" si="9"/>
        <v>4515186713</v>
      </c>
      <c r="K22" s="213">
        <f t="shared" si="9"/>
        <v>2852827138</v>
      </c>
      <c r="L22" s="213">
        <f t="shared" si="9"/>
        <v>4994239101</v>
      </c>
      <c r="M22" s="213">
        <f t="shared" si="9"/>
        <v>3415805784</v>
      </c>
      <c r="N22" s="213">
        <f t="shared" si="9"/>
        <v>6307088062</v>
      </c>
      <c r="O22" s="214">
        <f t="shared" si="9"/>
        <v>4218615824</v>
      </c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</row>
    <row r="23" ht="15.75" customHeight="1">
      <c r="A23" s="211" t="s">
        <v>400</v>
      </c>
      <c r="B23" s="215">
        <f t="shared" ref="B23:O23" si="10">SUM(B13:B20)</f>
        <v>2058825.801</v>
      </c>
      <c r="C23" s="216">
        <f t="shared" si="10"/>
        <v>1647593.369</v>
      </c>
      <c r="D23" s="216">
        <f t="shared" si="10"/>
        <v>2705920.924</v>
      </c>
      <c r="E23" s="216">
        <f t="shared" si="10"/>
        <v>2137889.581</v>
      </c>
      <c r="F23" s="216">
        <f t="shared" si="10"/>
        <v>3407336.517</v>
      </c>
      <c r="G23" s="216">
        <f t="shared" si="10"/>
        <v>2638413.414</v>
      </c>
      <c r="H23" s="216">
        <f t="shared" si="10"/>
        <v>3725994794</v>
      </c>
      <c r="I23" s="216">
        <f t="shared" si="10"/>
        <v>2601858754</v>
      </c>
      <c r="J23" s="216">
        <f t="shared" si="10"/>
        <v>4426520449</v>
      </c>
      <c r="K23" s="216">
        <f t="shared" si="10"/>
        <v>2819512741</v>
      </c>
      <c r="L23" s="216">
        <f t="shared" si="10"/>
        <v>4896059763</v>
      </c>
      <c r="M23" s="216">
        <f t="shared" si="10"/>
        <v>3375972021</v>
      </c>
      <c r="N23" s="216">
        <f t="shared" si="10"/>
        <v>6163272013</v>
      </c>
      <c r="O23" s="217">
        <f t="shared" si="10"/>
        <v>4166169868</v>
      </c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</row>
    <row r="24" ht="15.75" customHeight="1">
      <c r="A24" s="163"/>
      <c r="B24" s="163"/>
      <c r="C24" s="163"/>
      <c r="D24" s="163"/>
      <c r="E24" s="163"/>
      <c r="F24" s="163"/>
      <c r="G24" s="163"/>
      <c r="H24" s="163"/>
      <c r="I24" s="163"/>
      <c r="Y24" s="14"/>
    </row>
    <row r="25" ht="15.75" customHeight="1">
      <c r="A25" s="218" t="s">
        <v>401</v>
      </c>
      <c r="B25" s="219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1"/>
      <c r="X25" s="221"/>
      <c r="Y25" s="221"/>
      <c r="Z25" s="221"/>
      <c r="AA25" s="221"/>
      <c r="AB25" s="221"/>
      <c r="AC25" s="221"/>
      <c r="AD25" s="221"/>
    </row>
    <row r="26" ht="15.75" customHeight="1">
      <c r="A26" s="163"/>
      <c r="B26" s="163"/>
      <c r="C26" s="163"/>
      <c r="D26" s="163"/>
      <c r="E26" s="163"/>
      <c r="F26" s="163"/>
      <c r="G26" s="163"/>
      <c r="H26" s="163"/>
      <c r="I26" s="163"/>
      <c r="Y26" s="14"/>
    </row>
    <row r="27" ht="15.75" customHeight="1">
      <c r="A27" s="160" t="s">
        <v>402</v>
      </c>
      <c r="B27" s="161"/>
      <c r="C27" s="161"/>
      <c r="D27" s="163"/>
      <c r="E27" s="163"/>
      <c r="F27" s="163"/>
      <c r="G27" s="163"/>
      <c r="H27" s="163"/>
      <c r="I27" s="163"/>
      <c r="Y27" s="14" t="s">
        <v>403</v>
      </c>
    </row>
    <row r="28" ht="15.75" customHeight="1">
      <c r="A28" s="222" t="s">
        <v>404</v>
      </c>
      <c r="B28" s="223" t="s">
        <v>288</v>
      </c>
      <c r="C28" s="223" t="s">
        <v>405</v>
      </c>
      <c r="D28" s="223" t="s">
        <v>292</v>
      </c>
      <c r="E28" s="223" t="s">
        <v>294</v>
      </c>
      <c r="F28" s="223" t="s">
        <v>296</v>
      </c>
      <c r="G28" s="223" t="s">
        <v>298</v>
      </c>
      <c r="H28" s="223" t="s">
        <v>300</v>
      </c>
      <c r="I28" s="223" t="s">
        <v>89</v>
      </c>
      <c r="J28" s="223" t="s">
        <v>303</v>
      </c>
      <c r="K28" s="223" t="s">
        <v>305</v>
      </c>
      <c r="L28" s="223" t="s">
        <v>307</v>
      </c>
      <c r="M28" s="223" t="s">
        <v>406</v>
      </c>
      <c r="N28" s="223" t="s">
        <v>311</v>
      </c>
      <c r="O28" s="223" t="s">
        <v>313</v>
      </c>
      <c r="P28" s="223" t="s">
        <v>315</v>
      </c>
      <c r="Q28" s="223" t="s">
        <v>407</v>
      </c>
      <c r="R28" s="223" t="s">
        <v>319</v>
      </c>
      <c r="S28" s="223" t="s">
        <v>321</v>
      </c>
      <c r="T28" s="223" t="s">
        <v>323</v>
      </c>
      <c r="U28" s="223" t="s">
        <v>408</v>
      </c>
      <c r="V28" s="222" t="s">
        <v>68</v>
      </c>
      <c r="X28" s="224"/>
      <c r="Y28" s="225" t="s">
        <v>409</v>
      </c>
      <c r="Z28" s="226" t="s">
        <v>410</v>
      </c>
      <c r="AA28" s="227" t="s">
        <v>68</v>
      </c>
      <c r="AB28" s="227" t="s">
        <v>411</v>
      </c>
      <c r="AC28" s="228"/>
      <c r="AD28" s="228"/>
      <c r="AE28" s="228"/>
      <c r="AF28" s="228"/>
      <c r="AG28" s="228"/>
    </row>
    <row r="29" ht="15.75" customHeight="1">
      <c r="A29" s="205" t="s">
        <v>391</v>
      </c>
      <c r="B29" s="229">
        <f>'Pomocná data V. PAF'!C14*B114</f>
        <v>328.1244027</v>
      </c>
      <c r="C29" s="229">
        <f>'Pomocná data V. PAF'!D14*C114</f>
        <v>48871.06318</v>
      </c>
      <c r="D29" s="229">
        <f>'Pomocná data V. PAF'!E14*D114</f>
        <v>845.2958819</v>
      </c>
      <c r="E29" s="229">
        <f>'Pomocná data V. PAF'!F14*E114</f>
        <v>147.7049828</v>
      </c>
      <c r="F29" s="229"/>
      <c r="G29" s="229">
        <f>'Pomocná data V. PAF'!H14*G114</f>
        <v>14.0130881</v>
      </c>
      <c r="H29" s="229">
        <f>'Pomocná data V. PAF'!I14*H114</f>
        <v>34.78381748</v>
      </c>
      <c r="I29" s="229">
        <f>'Pomocná data V. PAF'!J14*I114</f>
        <v>3028</v>
      </c>
      <c r="J29" s="229">
        <f>'Pomocná data V. PAF'!K14*J114</f>
        <v>202.1404862</v>
      </c>
      <c r="K29" s="229">
        <f>'Pomocná data V. PAF'!L14*K114</f>
        <v>4636.37841</v>
      </c>
      <c r="L29" s="229">
        <f>'Pomocná data V. PAF'!M14*L114</f>
        <v>319.7747029</v>
      </c>
      <c r="M29" s="229"/>
      <c r="N29" s="229">
        <f>'Pomocná data V. PAF'!O14*N114</f>
        <v>27.61213531</v>
      </c>
      <c r="O29" s="229"/>
      <c r="P29" s="229">
        <f>'Pomocná data V. PAF'!Q14*P114</f>
        <v>0</v>
      </c>
      <c r="Q29" s="229">
        <f>'Pomocná data V. PAF'!R14*Q114</f>
        <v>28.30354769</v>
      </c>
      <c r="R29" s="229"/>
      <c r="S29" s="229">
        <f>'Pomocná data V. PAF'!T14*S114</f>
        <v>0.7188846393</v>
      </c>
      <c r="T29" s="229">
        <f>'Pomocná data V. PAF'!U14*T114</f>
        <v>62.71252343</v>
      </c>
      <c r="U29" s="229">
        <f>'Pomocná data V. PAF'!V14*U114</f>
        <v>763.3422324</v>
      </c>
      <c r="V29" s="230">
        <f t="shared" ref="V29:V38" si="11">SUM(B29:U29)</f>
        <v>59309.96827</v>
      </c>
      <c r="X29" s="231" t="s">
        <v>294</v>
      </c>
      <c r="Y29" s="232">
        <v>134.6296168843098</v>
      </c>
      <c r="Z29" s="232">
        <v>51.876028180753295</v>
      </c>
      <c r="AA29" s="233">
        <f t="shared" ref="AA29:AA44" si="12">SUM(Y29:Z29)</f>
        <v>186.5056451</v>
      </c>
      <c r="AB29" s="234">
        <f t="shared" ref="AB29:AB44" si="13">AA29/SUM($AA$29:$AA$44)</f>
        <v>0.2009656053</v>
      </c>
      <c r="AC29" s="235" t="str">
        <f t="shared" ref="AC29:AC32" si="14">CONCATENATE(X29, " &amp; ", ROUND(Y29,0), " &amp; ", ROUND(Z29,0), " &amp; ", ROUND(AA29,0), " &amp; ", ROUND(AB29*100,1), " \%", " \\")</f>
        <v>Ischemická choroba srdeční &amp; 135 &amp; 52 &amp; 187 &amp; 20.1 \% \\</v>
      </c>
      <c r="AD29" s="235"/>
      <c r="AE29" s="235"/>
      <c r="AF29" s="235"/>
      <c r="AG29" s="235"/>
    </row>
    <row r="30" ht="15.75" customHeight="1">
      <c r="A30" s="205" t="s">
        <v>392</v>
      </c>
      <c r="B30" s="229">
        <f>'Pomocná data V. PAF'!C15*B115</f>
        <v>549.1423473</v>
      </c>
      <c r="C30" s="229">
        <f>'Pomocná data V. PAF'!D15*C115</f>
        <v>78935.94312</v>
      </c>
      <c r="D30" s="229">
        <f>'Pomocná data V. PAF'!E15*D115</f>
        <v>1127.549386</v>
      </c>
      <c r="E30" s="229">
        <f>'Pomocná data V. PAF'!F15*E115</f>
        <v>602.9658591</v>
      </c>
      <c r="F30" s="229"/>
      <c r="G30" s="229">
        <f>'Pomocná data V. PAF'!H15*G115</f>
        <v>30.62321704</v>
      </c>
      <c r="H30" s="229">
        <f>'Pomocná data V. PAF'!I15*H115</f>
        <v>94.74649824</v>
      </c>
      <c r="I30" s="229">
        <f>'Pomocná data V. PAF'!J15*I115</f>
        <v>1220</v>
      </c>
      <c r="J30" s="229">
        <f>'Pomocná data V. PAF'!K15*J115</f>
        <v>448.3786678</v>
      </c>
      <c r="K30" s="229">
        <f>'Pomocná data V. PAF'!L15*K115</f>
        <v>7586.94958</v>
      </c>
      <c r="L30" s="229">
        <f>'Pomocná data V. PAF'!M15*L115</f>
        <v>695.4272415</v>
      </c>
      <c r="M30" s="229"/>
      <c r="N30" s="229">
        <f>'Pomocná data V. PAF'!O15*N115</f>
        <v>183.595995</v>
      </c>
      <c r="O30" s="229"/>
      <c r="P30" s="229">
        <f>'Pomocná data V. PAF'!Q15*P115</f>
        <v>33.26803698</v>
      </c>
      <c r="Q30" s="229">
        <f>'Pomocná data V. PAF'!R15*Q115</f>
        <v>106.881938</v>
      </c>
      <c r="R30" s="229"/>
      <c r="S30" s="229">
        <f>'Pomocná data V. PAF'!T15*S115</f>
        <v>0</v>
      </c>
      <c r="T30" s="229">
        <f>'Pomocná data V. PAF'!U15*T115</f>
        <v>69.20585123</v>
      </c>
      <c r="U30" s="229">
        <f>'Pomocná data V. PAF'!V15*U115</f>
        <v>1653.504335</v>
      </c>
      <c r="V30" s="230">
        <f t="shared" si="11"/>
        <v>93338.18208</v>
      </c>
      <c r="X30" s="231" t="s">
        <v>408</v>
      </c>
      <c r="Y30" s="232">
        <v>92.95700664497754</v>
      </c>
      <c r="Z30" s="232">
        <v>89.41008460575185</v>
      </c>
      <c r="AA30" s="233">
        <f t="shared" si="12"/>
        <v>182.3670913</v>
      </c>
      <c r="AB30" s="234">
        <f t="shared" si="13"/>
        <v>0.1965061855</v>
      </c>
      <c r="AC30" s="235" t="str">
        <f t="shared" si="14"/>
        <v>Vysoký krevní tlak &amp; 93 &amp; 89 &amp; 182 &amp; 19.7 \% \\</v>
      </c>
      <c r="AD30" s="235"/>
      <c r="AE30" s="235"/>
      <c r="AF30" s="235"/>
      <c r="AG30" s="235"/>
    </row>
    <row r="31" ht="15.75" customHeight="1">
      <c r="A31" s="205" t="s">
        <v>393</v>
      </c>
      <c r="B31" s="229">
        <f>'Pomocná data V. PAF'!C16*B116</f>
        <v>673.9334815</v>
      </c>
      <c r="C31" s="229">
        <f>'Pomocná data V. PAF'!D16*C116</f>
        <v>134657.6347</v>
      </c>
      <c r="D31" s="229">
        <f>'Pomocná data V. PAF'!E16*D116</f>
        <v>2942.567968</v>
      </c>
      <c r="E31" s="229">
        <f>'Pomocná data V. PAF'!F16*E116</f>
        <v>2090.496152</v>
      </c>
      <c r="F31" s="229"/>
      <c r="G31" s="229">
        <f>'Pomocná data V. PAF'!H16*G116</f>
        <v>94.96843139</v>
      </c>
      <c r="H31" s="229">
        <f>'Pomocná data V. PAF'!I16*H116</f>
        <v>100.7298886</v>
      </c>
      <c r="I31" s="229">
        <f>'Pomocná data V. PAF'!J16*I116</f>
        <v>6233</v>
      </c>
      <c r="J31" s="229">
        <f>'Pomocná data V. PAF'!K16*J116</f>
        <v>1051.436232</v>
      </c>
      <c r="K31" s="229">
        <f>'Pomocná data V. PAF'!L16*K116</f>
        <v>18941.08418</v>
      </c>
      <c r="L31" s="229">
        <f>'Pomocná data V. PAF'!M16*L116</f>
        <v>1391.135269</v>
      </c>
      <c r="M31" s="229"/>
      <c r="N31" s="229">
        <f>'Pomocná data V. PAF'!O16*N116</f>
        <v>393.7790658</v>
      </c>
      <c r="O31" s="229"/>
      <c r="P31" s="229">
        <f>'Pomocná data V. PAF'!Q16*P116</f>
        <v>21.36376843</v>
      </c>
      <c r="Q31" s="229">
        <f>'Pomocná data V. PAF'!R16*Q116</f>
        <v>1528.092882</v>
      </c>
      <c r="R31" s="229"/>
      <c r="S31" s="229">
        <f>'Pomocná data V. PAF'!T16*S116</f>
        <v>0</v>
      </c>
      <c r="T31" s="229">
        <f>'Pomocná data V. PAF'!U16*T116</f>
        <v>134.9236349</v>
      </c>
      <c r="U31" s="229">
        <f>'Pomocná data V. PAF'!V16*U116</f>
        <v>3503.559688</v>
      </c>
      <c r="V31" s="230">
        <f t="shared" si="11"/>
        <v>173758.7054</v>
      </c>
      <c r="X31" s="231" t="s">
        <v>89</v>
      </c>
      <c r="Y31" s="232">
        <v>45.039</v>
      </c>
      <c r="Z31" s="232">
        <v>88.839</v>
      </c>
      <c r="AA31" s="233">
        <f t="shared" si="12"/>
        <v>133.878</v>
      </c>
      <c r="AB31" s="234">
        <f t="shared" si="13"/>
        <v>0.1442576888</v>
      </c>
      <c r="AC31" s="235" t="str">
        <f t="shared" si="14"/>
        <v>Obezita &amp; 45 &amp; 89 &amp; 134 &amp; 14.4 \% \\</v>
      </c>
      <c r="AD31" s="235"/>
      <c r="AE31" s="235"/>
      <c r="AF31" s="235"/>
      <c r="AG31" s="235"/>
    </row>
    <row r="32" ht="15.75" customHeight="1">
      <c r="A32" s="205" t="s">
        <v>394</v>
      </c>
      <c r="B32" s="229">
        <f>'Pomocná data V. PAF'!C17*B117</f>
        <v>1289.482786</v>
      </c>
      <c r="C32" s="229">
        <f>'Pomocná data V. PAF'!D17*C117</f>
        <v>202986.3624</v>
      </c>
      <c r="D32" s="229">
        <f>'Pomocná data V. PAF'!E17*D117</f>
        <v>6375.488519</v>
      </c>
      <c r="E32" s="229">
        <f>'Pomocná data V. PAF'!F17*E117</f>
        <v>5597.569421</v>
      </c>
      <c r="F32" s="229"/>
      <c r="G32" s="229">
        <f>'Pomocná data V. PAF'!H17*G117</f>
        <v>139.0719512</v>
      </c>
      <c r="H32" s="229">
        <f>'Pomocná data V. PAF'!I17*H117</f>
        <v>403.7669843</v>
      </c>
      <c r="I32" s="229">
        <f>'Pomocná data V. PAF'!J17*I117</f>
        <v>11742</v>
      </c>
      <c r="J32" s="229">
        <f>'Pomocná data V. PAF'!K17*J117</f>
        <v>2030.245042</v>
      </c>
      <c r="K32" s="229">
        <f>'Pomocná data V. PAF'!L17*K117</f>
        <v>38859.10699</v>
      </c>
      <c r="L32" s="229">
        <f>'Pomocná data V. PAF'!M17*L117</f>
        <v>2703.802255</v>
      </c>
      <c r="M32" s="229"/>
      <c r="N32" s="229">
        <f>'Pomocná data V. PAF'!O17*N117</f>
        <v>910.3658643</v>
      </c>
      <c r="O32" s="229"/>
      <c r="P32" s="229">
        <f>'Pomocná data V. PAF'!Q17*P117</f>
        <v>568.8373505</v>
      </c>
      <c r="Q32" s="229">
        <f>'Pomocná data V. PAF'!R17*Q117</f>
        <v>1116.577532</v>
      </c>
      <c r="R32" s="229"/>
      <c r="S32" s="229">
        <f>'Pomocná data V. PAF'!T17*S117</f>
        <v>9.963908308</v>
      </c>
      <c r="T32" s="229">
        <f>'Pomocná data V. PAF'!U17*T117</f>
        <v>1218.841967</v>
      </c>
      <c r="U32" s="229">
        <f>'Pomocná data V. PAF'!V17*U117</f>
        <v>8387.213972</v>
      </c>
      <c r="V32" s="230">
        <f t="shared" si="11"/>
        <v>284338.6969</v>
      </c>
      <c r="X32" s="231" t="s">
        <v>292</v>
      </c>
      <c r="Y32" s="232">
        <v>81.90590192981018</v>
      </c>
      <c r="Z32" s="232">
        <v>37.23595209960527</v>
      </c>
      <c r="AA32" s="233">
        <f t="shared" si="12"/>
        <v>119.141854</v>
      </c>
      <c r="AB32" s="234">
        <f t="shared" si="13"/>
        <v>0.1283790354</v>
      </c>
      <c r="AC32" s="235" t="str">
        <f t="shared" si="14"/>
        <v>Cukrovka II. typu &amp; 82 &amp; 37 &amp; 119 &amp; 12.8 \% \\</v>
      </c>
      <c r="AD32" s="235"/>
      <c r="AE32" s="235"/>
      <c r="AF32" s="235"/>
      <c r="AG32" s="235"/>
    </row>
    <row r="33" ht="15.75" customHeight="1">
      <c r="A33" s="205" t="s">
        <v>395</v>
      </c>
      <c r="B33" s="229">
        <f>'Pomocná data V. PAF'!C18*B118</f>
        <v>1483.74119</v>
      </c>
      <c r="C33" s="229">
        <f>'Pomocná data V. PAF'!D18*C118</f>
        <v>209086.5686</v>
      </c>
      <c r="D33" s="229">
        <f>'Pomocná data V. PAF'!E18*D118</f>
        <v>10351.84494</v>
      </c>
      <c r="E33" s="229">
        <f>'Pomocná data V. PAF'!F18*E118</f>
        <v>11817.42627</v>
      </c>
      <c r="F33" s="229"/>
      <c r="G33" s="229">
        <f>'Pomocná data V. PAF'!H18*G118</f>
        <v>393.6166618</v>
      </c>
      <c r="H33" s="229">
        <f>'Pomocná data V. PAF'!I18*H118</f>
        <v>896.745516</v>
      </c>
      <c r="I33" s="229">
        <f>'Pomocná data V. PAF'!J18*I118</f>
        <v>6912</v>
      </c>
      <c r="J33" s="229">
        <f>'Pomocná data V. PAF'!K18*J118</f>
        <v>2317.501148</v>
      </c>
      <c r="K33" s="229">
        <f>'Pomocná data V. PAF'!L18*K118</f>
        <v>66283.78249</v>
      </c>
      <c r="L33" s="229">
        <f>'Pomocná data V. PAF'!M18*L118</f>
        <v>4547.534902</v>
      </c>
      <c r="M33" s="229"/>
      <c r="N33" s="229">
        <f>'Pomocná data V. PAF'!O18*N118</f>
        <v>1353.560677</v>
      </c>
      <c r="O33" s="229"/>
      <c r="P33" s="229">
        <f>'Pomocná data V. PAF'!Q18*P118</f>
        <v>1370.989431</v>
      </c>
      <c r="Q33" s="229">
        <f>'Pomocná data V. PAF'!R18*Q118</f>
        <v>2975.856351</v>
      </c>
      <c r="R33" s="229"/>
      <c r="S33" s="229">
        <f>'Pomocná data V. PAF'!T18*S118</f>
        <v>317.7084455</v>
      </c>
      <c r="T33" s="229">
        <f>'Pomocná data V. PAF'!U18*T118</f>
        <v>1769.210956</v>
      </c>
      <c r="U33" s="229">
        <f>'Pomocná data V. PAF'!V18*U118</f>
        <v>12737.88058</v>
      </c>
      <c r="V33" s="230">
        <f t="shared" si="11"/>
        <v>334615.9682</v>
      </c>
      <c r="X33" s="231" t="s">
        <v>303</v>
      </c>
      <c r="Y33" s="232">
        <v>16.117193325978423</v>
      </c>
      <c r="Z33" s="232">
        <v>60.373417724027306</v>
      </c>
      <c r="AA33" s="233">
        <f t="shared" si="12"/>
        <v>76.49061105</v>
      </c>
      <c r="AB33" s="234">
        <f t="shared" si="13"/>
        <v>0.08242100097</v>
      </c>
      <c r="AC33" s="235"/>
      <c r="AD33" s="235"/>
      <c r="AE33" s="235"/>
      <c r="AF33" s="235"/>
      <c r="AG33" s="235"/>
    </row>
    <row r="34" ht="15.75" customHeight="1">
      <c r="A34" s="205" t="s">
        <v>396</v>
      </c>
      <c r="B34" s="229">
        <f>'Pomocná data V. PAF'!C19*B119</f>
        <v>1948.565971</v>
      </c>
      <c r="C34" s="229">
        <f>'Pomocná data V. PAF'!D19*C119</f>
        <v>254396.6919</v>
      </c>
      <c r="D34" s="229">
        <f>'Pomocná data V. PAF'!E19*D119</f>
        <v>15507.60916</v>
      </c>
      <c r="E34" s="229">
        <f>'Pomocná data V. PAF'!F19*E119</f>
        <v>27998.0162</v>
      </c>
      <c r="F34" s="229"/>
      <c r="G34" s="229">
        <f>'Pomocná data V. PAF'!H19*G119</f>
        <v>285.2975669</v>
      </c>
      <c r="H34" s="229">
        <f>'Pomocná data V. PAF'!I19*H119</f>
        <v>2487.574763</v>
      </c>
      <c r="I34" s="229">
        <f>'Pomocná data V. PAF'!J19*I119</f>
        <v>11380</v>
      </c>
      <c r="J34" s="229">
        <f>'Pomocná data V. PAF'!K19*J119</f>
        <v>2924.53866</v>
      </c>
      <c r="K34" s="229">
        <f>'Pomocná data V. PAF'!L19*K119</f>
        <v>128655.878</v>
      </c>
      <c r="L34" s="229">
        <f>'Pomocná data V. PAF'!M19*L119</f>
        <v>4661.196072</v>
      </c>
      <c r="M34" s="229"/>
      <c r="N34" s="229">
        <f>'Pomocná data V. PAF'!O19*N119</f>
        <v>2862.511744</v>
      </c>
      <c r="O34" s="229"/>
      <c r="P34" s="229">
        <f>'Pomocná data V. PAF'!Q19*P119</f>
        <v>2533.053665</v>
      </c>
      <c r="Q34" s="229">
        <f>'Pomocná data V. PAF'!R19*Q119</f>
        <v>7026.24364</v>
      </c>
      <c r="R34" s="229"/>
      <c r="S34" s="229">
        <f>'Pomocná data V. PAF'!T19*S119</f>
        <v>221.6463793</v>
      </c>
      <c r="T34" s="229">
        <f>'Pomocná data V. PAF'!U19*T119</f>
        <v>1526.665264</v>
      </c>
      <c r="U34" s="229">
        <f>'Pomocná data V. PAF'!V19*U119</f>
        <v>17787.44563</v>
      </c>
      <c r="V34" s="230">
        <f t="shared" si="11"/>
        <v>482202.9346</v>
      </c>
      <c r="X34" s="231" t="s">
        <v>307</v>
      </c>
      <c r="Y34" s="232">
        <v>28.88022387495678</v>
      </c>
      <c r="Z34" s="232">
        <v>16.014908432684752</v>
      </c>
      <c r="AA34" s="233">
        <f t="shared" si="12"/>
        <v>44.89513231</v>
      </c>
      <c r="AB34" s="234">
        <f t="shared" si="13"/>
        <v>0.04837589467</v>
      </c>
      <c r="AC34" s="235"/>
      <c r="AD34" s="235"/>
      <c r="AE34" s="235"/>
      <c r="AF34" s="235"/>
      <c r="AG34" s="235"/>
    </row>
    <row r="35" ht="15.75" customHeight="1">
      <c r="A35" s="205" t="s">
        <v>397</v>
      </c>
      <c r="B35" s="229">
        <f>'Pomocná data V. PAF'!C20*B120</f>
        <v>2334.173166</v>
      </c>
      <c r="C35" s="229">
        <f>'Pomocná data V. PAF'!D20*C120</f>
        <v>281963.1439</v>
      </c>
      <c r="D35" s="229">
        <f>'Pomocná data V. PAF'!E20*D120</f>
        <v>23121.04555</v>
      </c>
      <c r="E35" s="229">
        <f>'Pomocná data V. PAF'!F20*E120</f>
        <v>34854.02143</v>
      </c>
      <c r="F35" s="229"/>
      <c r="G35" s="229">
        <f>'Pomocná data V. PAF'!H20*G120</f>
        <v>336.0926073</v>
      </c>
      <c r="H35" s="229">
        <f>'Pomocná data V. PAF'!I20*H120</f>
        <v>3239.683089</v>
      </c>
      <c r="I35" s="229">
        <f>'Pomocná data V. PAF'!J20*I120</f>
        <v>2864</v>
      </c>
      <c r="J35" s="229">
        <f>'Pomocná data V. PAF'!K20*J120</f>
        <v>3225.713787</v>
      </c>
      <c r="K35" s="229">
        <f>'Pomocná data V. PAF'!L20*K120</f>
        <v>187403.083</v>
      </c>
      <c r="L35" s="229">
        <f>'Pomocná data V. PAF'!M20*L120</f>
        <v>6884.15128</v>
      </c>
      <c r="M35" s="229"/>
      <c r="N35" s="229">
        <f>'Pomocná data V. PAF'!O20*N120</f>
        <v>4181.096984</v>
      </c>
      <c r="O35" s="229"/>
      <c r="P35" s="229">
        <f>'Pomocná data V. PAF'!Q20*P120</f>
        <v>2387.514039</v>
      </c>
      <c r="Q35" s="229">
        <f>'Pomocná data V. PAF'!R20*Q120</f>
        <v>7714.187175</v>
      </c>
      <c r="R35" s="229"/>
      <c r="S35" s="229">
        <f>'Pomocná data V. PAF'!T20*S120</f>
        <v>186.452623</v>
      </c>
      <c r="T35" s="229">
        <f>'Pomocná data V. PAF'!U20*T120</f>
        <v>4084.26601</v>
      </c>
      <c r="U35" s="229">
        <f>'Pomocná data V. PAF'!V20*U120</f>
        <v>20319.57524</v>
      </c>
      <c r="V35" s="230">
        <f t="shared" si="11"/>
        <v>585098.1998</v>
      </c>
      <c r="X35" s="231" t="s">
        <v>407</v>
      </c>
      <c r="Y35" s="232">
        <v>31.80402002245465</v>
      </c>
      <c r="Z35" s="232">
        <v>12.892213195331138</v>
      </c>
      <c r="AA35" s="233">
        <f t="shared" si="12"/>
        <v>44.69623322</v>
      </c>
      <c r="AB35" s="234">
        <f t="shared" si="13"/>
        <v>0.04816157474</v>
      </c>
      <c r="AC35" s="235"/>
      <c r="AD35" s="235"/>
      <c r="AE35" s="235"/>
      <c r="AF35" s="235"/>
      <c r="AG35" s="235"/>
    </row>
    <row r="36" ht="15.75" customHeight="1">
      <c r="A36" s="205" t="s">
        <v>398</v>
      </c>
      <c r="B36" s="229">
        <f>'Pomocná data V. PAF'!C21*B121</f>
        <v>1779.388146</v>
      </c>
      <c r="C36" s="229">
        <f>'Pomocná data V. PAF'!D21*C121</f>
        <v>315319.0958</v>
      </c>
      <c r="D36" s="229">
        <f>'Pomocná data V. PAF'!E21*D121</f>
        <v>20629.14383</v>
      </c>
      <c r="E36" s="229">
        <f>'Pomocná data V. PAF'!F21*E121</f>
        <v>46058.38782</v>
      </c>
      <c r="F36" s="229"/>
      <c r="G36" s="229">
        <f>'Pomocná data V. PAF'!H21*G121</f>
        <v>353.4917823</v>
      </c>
      <c r="H36" s="229">
        <f>'Pomocná data V. PAF'!I21*H121</f>
        <v>4352.16729</v>
      </c>
      <c r="I36" s="229">
        <f>'Pomocná data V. PAF'!J21*I121</f>
        <v>1660</v>
      </c>
      <c r="J36" s="229">
        <f>'Pomocná data V. PAF'!K21*J121</f>
        <v>2858.319171</v>
      </c>
      <c r="K36" s="229">
        <f>'Pomocná data V. PAF'!L21*K121</f>
        <v>247051.3825</v>
      </c>
      <c r="L36" s="229">
        <f>'Pomocná data V. PAF'!M21*L121</f>
        <v>6803.907457</v>
      </c>
      <c r="M36" s="229"/>
      <c r="N36" s="229">
        <f>'Pomocná data V. PAF'!O21*N121</f>
        <v>5704.976654</v>
      </c>
      <c r="O36" s="229"/>
      <c r="P36" s="229">
        <f>'Pomocná data V. PAF'!Q21*P121</f>
        <v>3760.415162</v>
      </c>
      <c r="Q36" s="229">
        <f>'Pomocná data V. PAF'!R21*Q121</f>
        <v>10036.48164</v>
      </c>
      <c r="R36" s="229"/>
      <c r="S36" s="229">
        <f>'Pomocná data V. PAF'!T21*S121</f>
        <v>296.8774543</v>
      </c>
      <c r="T36" s="229">
        <f>'Pomocná data V. PAF'!U21*T121</f>
        <v>3675.027697</v>
      </c>
      <c r="U36" s="229">
        <f>'Pomocná data V. PAF'!V21*U121</f>
        <v>22919.20635</v>
      </c>
      <c r="V36" s="230">
        <f t="shared" si="11"/>
        <v>693258.2688</v>
      </c>
      <c r="X36" s="231" t="s">
        <v>288</v>
      </c>
      <c r="Y36" s="232">
        <v>10.92908026017244</v>
      </c>
      <c r="Z36" s="232">
        <v>26.986846828250414</v>
      </c>
      <c r="AA36" s="233">
        <f t="shared" si="12"/>
        <v>37.91592709</v>
      </c>
      <c r="AB36" s="234">
        <f t="shared" si="13"/>
        <v>0.04085558502</v>
      </c>
      <c r="AC36" s="235"/>
      <c r="AD36" s="235"/>
      <c r="AE36" s="235"/>
      <c r="AF36" s="235"/>
      <c r="AG36" s="235"/>
    </row>
    <row r="37" ht="15.75" customHeight="1">
      <c r="A37" s="205" t="s">
        <v>399</v>
      </c>
      <c r="B37" s="229">
        <f>AVERAGE('Pomocná data V. PAF'!C22:C24)*B122</f>
        <v>183.3362015</v>
      </c>
      <c r="C37" s="229">
        <f>AVERAGE('Pomocná data V. PAF'!D22:D24)*C122</f>
        <v>16291.03391</v>
      </c>
      <c r="D37" s="229">
        <f>AVERAGE('Pomocná data V. PAF'!E22:E24)*D122</f>
        <v>2330.281415</v>
      </c>
      <c r="E37" s="229">
        <f>AVERAGE('Pomocná data V. PAF'!F22:F24)*E122</f>
        <v>5017.95625</v>
      </c>
      <c r="F37" s="229"/>
      <c r="G37" s="229">
        <f>AVERAGE('Pomocná data V. PAF'!H22:H24)*G122</f>
        <v>47.69978581</v>
      </c>
      <c r="H37" s="229">
        <f>AVERAGE('Pomocná data V. PAF'!I22:I24)*H122</f>
        <v>437.0997994</v>
      </c>
      <c r="I37" s="229">
        <f>AVERAGE('Pomocná data V. PAF'!J22:J24)*I122</f>
        <v>0</v>
      </c>
      <c r="J37" s="229">
        <f>AVERAGE('Pomocná data V. PAF'!K22:K24)*J122</f>
        <v>442.0279127</v>
      </c>
      <c r="K37" s="229">
        <f>AVERAGE('Pomocná data V. PAF'!L22:L24)*K122</f>
        <v>23822.03872</v>
      </c>
      <c r="L37" s="229">
        <f>AVERAGE('Pomocná data V. PAF'!M22:M24)*L122</f>
        <v>674.5528562</v>
      </c>
      <c r="M37" s="229"/>
      <c r="N37" s="229">
        <f>AVERAGE('Pomocná data V. PAF'!O22:O24)*N122</f>
        <v>515.0502121</v>
      </c>
      <c r="O37" s="229"/>
      <c r="P37" s="229">
        <f>AVERAGE('Pomocná data V. PAF'!Q22:Q24)*P122</f>
        <v>719.4449442</v>
      </c>
      <c r="Q37" s="229">
        <f>AVERAGE('Pomocná data V. PAF'!R22:R24)*Q122</f>
        <v>1943.535738</v>
      </c>
      <c r="R37" s="229"/>
      <c r="S37" s="229">
        <f>AVERAGE('Pomocná data V. PAF'!T22:T24)*S122</f>
        <v>82.56118086</v>
      </c>
      <c r="T37" s="229">
        <f>AVERAGE('Pomocná data V. PAF'!U22:U24)*T122</f>
        <v>604.9156849</v>
      </c>
      <c r="U37" s="229">
        <f>AVERAGE('Pomocná data V. PAF'!V22:V24)*U122</f>
        <v>1711.621483</v>
      </c>
      <c r="V37" s="230">
        <f t="shared" si="11"/>
        <v>54823.1561</v>
      </c>
      <c r="X37" s="231" t="s">
        <v>311</v>
      </c>
      <c r="Y37" s="232">
        <v>16.245607322696358</v>
      </c>
      <c r="Z37" s="232">
        <v>9.073876286288352</v>
      </c>
      <c r="AA37" s="233">
        <f t="shared" si="12"/>
        <v>25.31948361</v>
      </c>
      <c r="AB37" s="234">
        <f t="shared" si="13"/>
        <v>0.02728252729</v>
      </c>
      <c r="AC37" s="235"/>
      <c r="AD37" s="235"/>
      <c r="AE37" s="235"/>
      <c r="AF37" s="235"/>
      <c r="AG37" s="235"/>
    </row>
    <row r="38" ht="15.75" customHeight="1">
      <c r="A38" s="236" t="s">
        <v>68</v>
      </c>
      <c r="B38" s="237">
        <f t="shared" ref="B38:U38" si="15">SUM(B29:B37)</f>
        <v>10569.88769</v>
      </c>
      <c r="C38" s="237">
        <f t="shared" si="15"/>
        <v>1542507.538</v>
      </c>
      <c r="D38" s="237">
        <f t="shared" si="15"/>
        <v>83230.82665</v>
      </c>
      <c r="E38" s="237">
        <f t="shared" si="15"/>
        <v>134184.5444</v>
      </c>
      <c r="F38" s="237">
        <f t="shared" si="15"/>
        <v>0</v>
      </c>
      <c r="G38" s="237">
        <f t="shared" si="15"/>
        <v>1694.875092</v>
      </c>
      <c r="H38" s="237">
        <f t="shared" si="15"/>
        <v>12047.29765</v>
      </c>
      <c r="I38" s="237">
        <f t="shared" si="15"/>
        <v>45039</v>
      </c>
      <c r="J38" s="237">
        <f t="shared" si="15"/>
        <v>15500.30111</v>
      </c>
      <c r="K38" s="237">
        <f t="shared" si="15"/>
        <v>723239.6838</v>
      </c>
      <c r="L38" s="237">
        <f t="shared" si="15"/>
        <v>28681.48204</v>
      </c>
      <c r="M38" s="237">
        <f t="shared" si="15"/>
        <v>0</v>
      </c>
      <c r="N38" s="237">
        <f t="shared" si="15"/>
        <v>16132.54933</v>
      </c>
      <c r="O38" s="237">
        <f t="shared" si="15"/>
        <v>0</v>
      </c>
      <c r="P38" s="237">
        <f t="shared" si="15"/>
        <v>11394.8864</v>
      </c>
      <c r="Q38" s="237">
        <f t="shared" si="15"/>
        <v>32476.16044</v>
      </c>
      <c r="R38" s="237">
        <f t="shared" si="15"/>
        <v>0</v>
      </c>
      <c r="S38" s="237">
        <f t="shared" si="15"/>
        <v>1115.928876</v>
      </c>
      <c r="T38" s="237">
        <f t="shared" si="15"/>
        <v>13145.76959</v>
      </c>
      <c r="U38" s="237">
        <f t="shared" si="15"/>
        <v>89783.34951</v>
      </c>
      <c r="V38" s="238">
        <f t="shared" si="11"/>
        <v>2760744.08</v>
      </c>
      <c r="X38" s="231" t="s">
        <v>313</v>
      </c>
      <c r="Y38" s="232">
        <v>0.0</v>
      </c>
      <c r="Z38" s="232">
        <v>23.660601254178133</v>
      </c>
      <c r="AA38" s="233">
        <f t="shared" si="12"/>
        <v>23.66060125</v>
      </c>
      <c r="AB38" s="234">
        <f t="shared" si="13"/>
        <v>0.0254950302</v>
      </c>
      <c r="AC38" s="235"/>
      <c r="AD38" s="235"/>
      <c r="AE38" s="235"/>
      <c r="AF38" s="235"/>
      <c r="AG38" s="235"/>
    </row>
    <row r="39" ht="15.75" customHeight="1">
      <c r="A39" s="163"/>
      <c r="U39" s="239" t="s">
        <v>412</v>
      </c>
      <c r="V39" s="240">
        <f>SUM(B29:U36)</f>
        <v>2705920.924</v>
      </c>
      <c r="X39" s="231" t="s">
        <v>323</v>
      </c>
      <c r="Y39" s="232">
        <v>13.01078186061294</v>
      </c>
      <c r="Z39" s="232">
        <v>3.2594198473955562</v>
      </c>
      <c r="AA39" s="233">
        <f t="shared" si="12"/>
        <v>16.27020171</v>
      </c>
      <c r="AB39" s="234">
        <f t="shared" si="13"/>
        <v>0.01753164594</v>
      </c>
      <c r="AC39" s="235"/>
      <c r="AD39" s="235"/>
      <c r="AE39" s="235"/>
      <c r="AF39" s="235"/>
      <c r="AG39" s="235"/>
    </row>
    <row r="40" ht="15.75" customHeight="1">
      <c r="A40" s="160" t="s">
        <v>413</v>
      </c>
      <c r="B40" s="160"/>
      <c r="C40" s="160"/>
      <c r="D40" s="163"/>
      <c r="E40" s="163"/>
      <c r="F40" s="163"/>
      <c r="G40" s="163"/>
      <c r="H40" s="163"/>
      <c r="I40" s="163"/>
      <c r="X40" s="231" t="s">
        <v>300</v>
      </c>
      <c r="Y40" s="232">
        <v>12.06802815963477</v>
      </c>
      <c r="Z40" s="232">
        <v>4.1588380365399935</v>
      </c>
      <c r="AA40" s="233">
        <f t="shared" si="12"/>
        <v>16.2268662</v>
      </c>
      <c r="AB40" s="234">
        <f t="shared" si="13"/>
        <v>0.01748495059</v>
      </c>
      <c r="AC40" s="235"/>
      <c r="AD40" s="235"/>
      <c r="AE40" s="235"/>
      <c r="AF40" s="235"/>
      <c r="AG40" s="235"/>
    </row>
    <row r="41" ht="15.75" customHeight="1">
      <c r="A41" s="241" t="s">
        <v>404</v>
      </c>
      <c r="B41" s="223" t="s">
        <v>288</v>
      </c>
      <c r="C41" s="223" t="s">
        <v>405</v>
      </c>
      <c r="D41" s="223" t="s">
        <v>292</v>
      </c>
      <c r="E41" s="223" t="s">
        <v>294</v>
      </c>
      <c r="F41" s="223" t="s">
        <v>296</v>
      </c>
      <c r="G41" s="223" t="s">
        <v>298</v>
      </c>
      <c r="H41" s="223" t="s">
        <v>300</v>
      </c>
      <c r="I41" s="223" t="s">
        <v>89</v>
      </c>
      <c r="J41" s="223" t="s">
        <v>303</v>
      </c>
      <c r="K41" s="223" t="s">
        <v>305</v>
      </c>
      <c r="L41" s="223" t="s">
        <v>307</v>
      </c>
      <c r="M41" s="223" t="s">
        <v>406</v>
      </c>
      <c r="N41" s="223" t="s">
        <v>311</v>
      </c>
      <c r="O41" s="223" t="s">
        <v>313</v>
      </c>
      <c r="P41" s="223" t="s">
        <v>315</v>
      </c>
      <c r="Q41" s="223" t="s">
        <v>407</v>
      </c>
      <c r="R41" s="223" t="s">
        <v>319</v>
      </c>
      <c r="S41" s="223" t="s">
        <v>321</v>
      </c>
      <c r="T41" s="223" t="s">
        <v>323</v>
      </c>
      <c r="U41" s="223" t="s">
        <v>408</v>
      </c>
      <c r="V41" s="242" t="s">
        <v>68</v>
      </c>
      <c r="X41" s="231" t="s">
        <v>315</v>
      </c>
      <c r="Y41" s="232">
        <v>11.214763316342323</v>
      </c>
      <c r="Z41" s="232">
        <v>3.4880291314671927</v>
      </c>
      <c r="AA41" s="233">
        <f t="shared" si="12"/>
        <v>14.70279245</v>
      </c>
      <c r="AB41" s="234">
        <f t="shared" si="13"/>
        <v>0.01584271395</v>
      </c>
      <c r="AC41" s="235"/>
      <c r="AD41" s="235"/>
      <c r="AE41" s="235"/>
      <c r="AF41" s="235"/>
      <c r="AG41" s="235"/>
    </row>
    <row r="42" ht="15.75" customHeight="1">
      <c r="A42" s="243" t="s">
        <v>391</v>
      </c>
      <c r="B42" s="229">
        <f>'Pomocná data V. PAF'!C35*B128</f>
        <v>449.7518094</v>
      </c>
      <c r="C42" s="229">
        <f>'Pomocná data V. PAF'!D35*C128</f>
        <v>29832.28485</v>
      </c>
      <c r="D42" s="229">
        <f>'Pomocná data V. PAF'!E35*D128</f>
        <v>574.9414862</v>
      </c>
      <c r="E42" s="229">
        <f>'Pomocná data V. PAF'!F35*E128</f>
        <v>172.7659933</v>
      </c>
      <c r="F42" s="229">
        <f>'Pomocná data V. PAF'!G35*F128</f>
        <v>43.67946908</v>
      </c>
      <c r="G42" s="229"/>
      <c r="H42" s="229">
        <f>'Pomocná data V. PAF'!I35*H128</f>
        <v>16.45396708</v>
      </c>
      <c r="I42" s="229">
        <f>'Pomocná data V. PAF'!J35*I128</f>
        <v>3312</v>
      </c>
      <c r="J42" s="229">
        <f>'Pomocná data V. PAF'!K35*J128</f>
        <v>896.971882</v>
      </c>
      <c r="K42" s="229">
        <f>'Pomocná data V. PAF'!L35*K128</f>
        <v>724.7539835</v>
      </c>
      <c r="L42" s="229">
        <f>'Pomocná data V. PAF'!M35*L128</f>
        <v>191.3077835</v>
      </c>
      <c r="M42" s="229">
        <f>'Pomocná data V. PAF'!N35*M128</f>
        <v>0</v>
      </c>
      <c r="N42" s="229">
        <f>'Pomocná data V. PAF'!O35*N128</f>
        <v>10.95111031</v>
      </c>
      <c r="O42" s="229">
        <f>'Pomocná data V. PAF'!P35*O128</f>
        <v>71.90966896</v>
      </c>
      <c r="P42" s="229">
        <f>'Pomocná data V. PAF'!Q35*P128</f>
        <v>0.5719804915</v>
      </c>
      <c r="Q42" s="229">
        <f>'Pomocná data V. PAF'!R35*Q128</f>
        <v>24.26500918</v>
      </c>
      <c r="R42" s="229">
        <f>'Pomocná data V. PAF'!S35*R128</f>
        <v>117.5659102</v>
      </c>
      <c r="S42" s="229">
        <f>'Pomocná data V. PAF'!T35*S128</f>
        <v>0</v>
      </c>
      <c r="T42" s="229">
        <f>'Pomocná data V. PAF'!U35*T128</f>
        <v>0.366545892</v>
      </c>
      <c r="U42" s="229">
        <f>'Pomocná data V. PAF'!V35*U128</f>
        <v>597.6398033</v>
      </c>
      <c r="V42" s="230">
        <f t="shared" ref="V42:V51" si="16">SUM(B42:U42)</f>
        <v>37038.18125</v>
      </c>
      <c r="X42" s="231" t="s">
        <v>321</v>
      </c>
      <c r="Y42" s="232">
        <v>1.1263579585924872</v>
      </c>
      <c r="Z42" s="232">
        <v>1.0886289764629191</v>
      </c>
      <c r="AA42" s="233">
        <f t="shared" si="12"/>
        <v>2.214986935</v>
      </c>
      <c r="AB42" s="234">
        <f t="shared" si="13"/>
        <v>0.002386716981</v>
      </c>
      <c r="AC42" s="235"/>
      <c r="AD42" s="235"/>
      <c r="AE42" s="235"/>
      <c r="AF42" s="235"/>
      <c r="AG42" s="235"/>
    </row>
    <row r="43" ht="15.75" customHeight="1">
      <c r="A43" s="243" t="s">
        <v>392</v>
      </c>
      <c r="B43" s="229">
        <f>'Pomocná data V. PAF'!C36*B129</f>
        <v>781.7512827</v>
      </c>
      <c r="C43" s="229">
        <f>'Pomocná data V. PAF'!D36*C129</f>
        <v>51375.13022</v>
      </c>
      <c r="D43" s="229">
        <f>'Pomocná data V. PAF'!E36*D129</f>
        <v>1366.255809</v>
      </c>
      <c r="E43" s="229">
        <f>'Pomocná data V. PAF'!F36*E129</f>
        <v>325.6316001</v>
      </c>
      <c r="F43" s="229">
        <f>'Pomocná data V. PAF'!G36*F129</f>
        <v>74.54650377</v>
      </c>
      <c r="G43" s="229"/>
      <c r="H43" s="229">
        <f>'Pomocná data V. PAF'!I36*H129</f>
        <v>29.99050014</v>
      </c>
      <c r="I43" s="229">
        <f>'Pomocná data V. PAF'!J36*I129</f>
        <v>10655</v>
      </c>
      <c r="J43" s="229">
        <f>'Pomocná data V. PAF'!K36*J129</f>
        <v>2354.548984</v>
      </c>
      <c r="K43" s="229">
        <f>'Pomocná data V. PAF'!L36*K129</f>
        <v>1426.242644</v>
      </c>
      <c r="L43" s="229">
        <f>'Pomocná data V. PAF'!M36*L129</f>
        <v>303.5938899</v>
      </c>
      <c r="M43" s="229">
        <f>'Pomocná data V. PAF'!N36*M129</f>
        <v>0</v>
      </c>
      <c r="N43" s="229">
        <f>'Pomocná data V. PAF'!O36*N129</f>
        <v>51.34944324</v>
      </c>
      <c r="O43" s="229">
        <f>'Pomocná data V. PAF'!P36*O129</f>
        <v>262.0904772</v>
      </c>
      <c r="P43" s="229">
        <f>'Pomocná data V. PAF'!Q36*P129</f>
        <v>51.85839513</v>
      </c>
      <c r="Q43" s="229">
        <f>'Pomocná data V. PAF'!R36*Q129</f>
        <v>163.2159638</v>
      </c>
      <c r="R43" s="229">
        <f>'Pomocná data V. PAF'!S36*R129</f>
        <v>232.7298335</v>
      </c>
      <c r="S43" s="229">
        <f>'Pomocná data V. PAF'!T36*S129</f>
        <v>19.39648306</v>
      </c>
      <c r="T43" s="229">
        <f>'Pomocná data V. PAF'!U36*T129</f>
        <v>58.54446515</v>
      </c>
      <c r="U43" s="229">
        <f>'Pomocná data V. PAF'!V36*U129</f>
        <v>1392.736842</v>
      </c>
      <c r="V43" s="230">
        <f t="shared" si="16"/>
        <v>70924.61334</v>
      </c>
      <c r="X43" s="231" t="s">
        <v>406</v>
      </c>
      <c r="Y43" s="232">
        <v>0.0</v>
      </c>
      <c r="Z43" s="232">
        <v>1.9765635748980335</v>
      </c>
      <c r="AA43" s="233">
        <f t="shared" si="12"/>
        <v>1.976563575</v>
      </c>
      <c r="AB43" s="234">
        <f t="shared" si="13"/>
        <v>0.002129808431</v>
      </c>
      <c r="AC43" s="235"/>
      <c r="AD43" s="235"/>
      <c r="AE43" s="235"/>
      <c r="AF43" s="235"/>
      <c r="AG43" s="235"/>
    </row>
    <row r="44" ht="15.75" customHeight="1">
      <c r="A44" s="243" t="s">
        <v>393</v>
      </c>
      <c r="B44" s="229">
        <f>'Pomocná data V. PAF'!C37*B130</f>
        <v>2139.649702</v>
      </c>
      <c r="C44" s="229">
        <f>'Pomocná data V. PAF'!D37*C130</f>
        <v>121269.3569</v>
      </c>
      <c r="D44" s="229">
        <f>'Pomocná data V. PAF'!E37*D130</f>
        <v>2130.224608</v>
      </c>
      <c r="E44" s="229">
        <f>'Pomocná data V. PAF'!F37*E130</f>
        <v>1228.997893</v>
      </c>
      <c r="F44" s="229">
        <f>'Pomocná data V. PAF'!G37*F130</f>
        <v>106.2084168</v>
      </c>
      <c r="G44" s="229"/>
      <c r="H44" s="229">
        <f>'Pomocná data V. PAF'!I37*H130</f>
        <v>85.61343263</v>
      </c>
      <c r="I44" s="229">
        <f>'Pomocná data V. PAF'!J37*I130</f>
        <v>13493</v>
      </c>
      <c r="J44" s="229">
        <f>'Pomocná data V. PAF'!K37*J130</f>
        <v>5998.855473</v>
      </c>
      <c r="K44" s="229">
        <f>'Pomocná data V. PAF'!L37*K130</f>
        <v>5347.032172</v>
      </c>
      <c r="L44" s="229">
        <f>'Pomocná data V. PAF'!M37*L130</f>
        <v>1349.321851</v>
      </c>
      <c r="M44" s="229">
        <f>'Pomocná data V. PAF'!N37*M130</f>
        <v>91.22850038</v>
      </c>
      <c r="N44" s="229">
        <f>'Pomocná data V. PAF'!O37*N130</f>
        <v>258.7245629</v>
      </c>
      <c r="O44" s="229">
        <f>'Pomocná data V. PAF'!P37*O130</f>
        <v>1236.726</v>
      </c>
      <c r="P44" s="229">
        <f>'Pomocná data V. PAF'!Q37*P130</f>
        <v>104.485281</v>
      </c>
      <c r="Q44" s="229">
        <f>'Pomocná data V. PAF'!R37*Q130</f>
        <v>488.1860383</v>
      </c>
      <c r="R44" s="229">
        <f>'Pomocná data V. PAF'!S37*R130</f>
        <v>492.4754212</v>
      </c>
      <c r="S44" s="229">
        <f>'Pomocná data V. PAF'!T37*S130</f>
        <v>4.682732187</v>
      </c>
      <c r="T44" s="229">
        <f>'Pomocná data V. PAF'!U37*T130</f>
        <v>95.6875486</v>
      </c>
      <c r="U44" s="229">
        <f>'Pomocná data V. PAF'!V37*U130</f>
        <v>3558.082273</v>
      </c>
      <c r="V44" s="230">
        <f t="shared" si="16"/>
        <v>159478.5388</v>
      </c>
      <c r="X44" s="244" t="s">
        <v>298</v>
      </c>
      <c r="Y44" s="245">
        <v>1.7855970684314957</v>
      </c>
      <c r="Z44" s="245">
        <v>0.0</v>
      </c>
      <c r="AA44" s="233">
        <f t="shared" si="12"/>
        <v>1.785597068</v>
      </c>
      <c r="AB44" s="246">
        <f t="shared" si="13"/>
        <v>0.00192403611</v>
      </c>
      <c r="AC44" s="235"/>
      <c r="AD44" s="235"/>
      <c r="AE44" s="235"/>
      <c r="AF44" s="235"/>
      <c r="AG44" s="235"/>
    </row>
    <row r="45" ht="15.75" customHeight="1">
      <c r="A45" s="243" t="s">
        <v>394</v>
      </c>
      <c r="B45" s="229">
        <f>'Pomocná data V. PAF'!C38*B131</f>
        <v>3306.756558</v>
      </c>
      <c r="C45" s="229">
        <f>'Pomocná data V. PAF'!D38*C131</f>
        <v>218798.5627</v>
      </c>
      <c r="D45" s="229">
        <f>'Pomocná data V. PAF'!E38*D131</f>
        <v>2662.307914</v>
      </c>
      <c r="E45" s="229">
        <f>'Pomocná data V. PAF'!F38*E131</f>
        <v>3469.321906</v>
      </c>
      <c r="F45" s="229">
        <f>'Pomocná data V. PAF'!G38*F131</f>
        <v>275.5832502</v>
      </c>
      <c r="G45" s="229"/>
      <c r="H45" s="229">
        <f>'Pomocná data V. PAF'!I38*H131</f>
        <v>398.8499225</v>
      </c>
      <c r="I45" s="229">
        <f>'Pomocná data V. PAF'!J38*I131</f>
        <v>18893</v>
      </c>
      <c r="J45" s="229">
        <f>'Pomocná data V. PAF'!K38*J131</f>
        <v>9974.691042</v>
      </c>
      <c r="K45" s="229">
        <f>'Pomocná data V. PAF'!L38*K131</f>
        <v>15489.8836</v>
      </c>
      <c r="L45" s="229">
        <f>'Pomocná data V. PAF'!M38*L131</f>
        <v>2257.181296</v>
      </c>
      <c r="M45" s="229">
        <f>'Pomocná data V. PAF'!N38*M131</f>
        <v>58.11046003</v>
      </c>
      <c r="N45" s="229">
        <f>'Pomocná data V. PAF'!O38*N131</f>
        <v>323.7734034</v>
      </c>
      <c r="O45" s="229">
        <f>'Pomocná data V. PAF'!P38*O131</f>
        <v>2649.540444</v>
      </c>
      <c r="P45" s="229">
        <f>'Pomocná data V. PAF'!Q38*P131</f>
        <v>101.1167109</v>
      </c>
      <c r="Q45" s="229">
        <f>'Pomocná data V. PAF'!R38*Q131</f>
        <v>1258.623634</v>
      </c>
      <c r="R45" s="229">
        <f>'Pomocná data V. PAF'!S38*R131</f>
        <v>954.562606</v>
      </c>
      <c r="S45" s="229">
        <f>'Pomocná data V. PAF'!T38*S131</f>
        <v>88.37527918</v>
      </c>
      <c r="T45" s="229">
        <f>'Pomocná data V. PAF'!U38*T131</f>
        <v>175.7860378</v>
      </c>
      <c r="U45" s="229">
        <f>'Pomocná data V. PAF'!V38*U131</f>
        <v>9758.465026</v>
      </c>
      <c r="V45" s="230">
        <f t="shared" si="16"/>
        <v>290894.4918</v>
      </c>
      <c r="X45" s="224" t="s">
        <v>68</v>
      </c>
      <c r="Y45" s="247">
        <f t="shared" ref="Y45:AB45" si="17">SUM(Y29:Y44)</f>
        <v>497.7131786</v>
      </c>
      <c r="Z45" s="189">
        <f t="shared" si="17"/>
        <v>430.3344082</v>
      </c>
      <c r="AA45" s="247">
        <f t="shared" si="17"/>
        <v>928.0475868</v>
      </c>
      <c r="AB45" s="248">
        <f t="shared" si="17"/>
        <v>1</v>
      </c>
      <c r="AC45" s="235"/>
      <c r="AD45" s="235"/>
      <c r="AE45" s="235"/>
      <c r="AF45" s="235"/>
      <c r="AG45" s="235"/>
    </row>
    <row r="46" ht="15.75" customHeight="1">
      <c r="A46" s="243" t="s">
        <v>395</v>
      </c>
      <c r="B46" s="229">
        <f>'Pomocná data V. PAF'!C39*B132</f>
        <v>4352.426235</v>
      </c>
      <c r="C46" s="229">
        <f>'Pomocná data V. PAF'!D39*C132</f>
        <v>255163.2355</v>
      </c>
      <c r="D46" s="229">
        <f>'Pomocná data V. PAF'!E39*D132</f>
        <v>5082.911393</v>
      </c>
      <c r="E46" s="229">
        <f>'Pomocná data V. PAF'!F39*E132</f>
        <v>6175.27564</v>
      </c>
      <c r="F46" s="229">
        <f>'Pomocná data V. PAF'!G39*F132</f>
        <v>293.0077966</v>
      </c>
      <c r="G46" s="229"/>
      <c r="H46" s="229">
        <f>'Pomocná data V. PAF'!I39*H132</f>
        <v>456.8424748</v>
      </c>
      <c r="I46" s="229">
        <f>'Pomocná data V. PAF'!J39*I132</f>
        <v>18223</v>
      </c>
      <c r="J46" s="229">
        <f>'Pomocná data V. PAF'!K39*J132</f>
        <v>9880.331918</v>
      </c>
      <c r="K46" s="229">
        <f>'Pomocná data V. PAF'!L39*K132</f>
        <v>28588.69072</v>
      </c>
      <c r="L46" s="229">
        <f>'Pomocná data V. PAF'!M39*L132</f>
        <v>3489.312105</v>
      </c>
      <c r="M46" s="229">
        <f>'Pomocná data V. PAF'!N39*M132</f>
        <v>290.3076547</v>
      </c>
      <c r="N46" s="229">
        <f>'Pomocná data V. PAF'!O39*N132</f>
        <v>1282.116954</v>
      </c>
      <c r="O46" s="229">
        <f>'Pomocná data V. PAF'!P39*O132</f>
        <v>4503.847856</v>
      </c>
      <c r="P46" s="229">
        <f>'Pomocná data V. PAF'!Q39*P132</f>
        <v>170.5277949</v>
      </c>
      <c r="Q46" s="229">
        <f>'Pomocná data V. PAF'!R39*Q132</f>
        <v>1610.591279</v>
      </c>
      <c r="R46" s="229">
        <f>'Pomocná data V. PAF'!S39*R132</f>
        <v>1449.155289</v>
      </c>
      <c r="S46" s="229">
        <f>'Pomocná data V. PAF'!T39*S132</f>
        <v>80.31274396</v>
      </c>
      <c r="T46" s="229">
        <f>'Pomocná data V. PAF'!U39*T132</f>
        <v>224.5644788</v>
      </c>
      <c r="U46" s="229">
        <f>'Pomocná data V. PAF'!V39*U132</f>
        <v>14079.93465</v>
      </c>
      <c r="V46" s="230">
        <f t="shared" si="16"/>
        <v>355396.3924</v>
      </c>
    </row>
    <row r="47" ht="15.75" customHeight="1">
      <c r="A47" s="243" t="s">
        <v>396</v>
      </c>
      <c r="B47" s="229">
        <f>'Pomocná data V. PAF'!C40*B133</f>
        <v>5165.471491</v>
      </c>
      <c r="C47" s="229">
        <f>'Pomocná data V. PAF'!D40*C133</f>
        <v>314786.0627</v>
      </c>
      <c r="D47" s="229">
        <f>'Pomocná data V. PAF'!E40*D133</f>
        <v>11092.17589</v>
      </c>
      <c r="E47" s="229">
        <f>'Pomocná data V. PAF'!F40*E133</f>
        <v>10823.76341</v>
      </c>
      <c r="F47" s="229">
        <f>'Pomocná data V. PAF'!G40*F133</f>
        <v>426.3685685</v>
      </c>
      <c r="G47" s="229"/>
      <c r="H47" s="229">
        <f>'Pomocná data V. PAF'!I40*H133</f>
        <v>1141.623266</v>
      </c>
      <c r="I47" s="229">
        <f>'Pomocná data V. PAF'!J40*I133</f>
        <v>11336</v>
      </c>
      <c r="J47" s="229">
        <f>'Pomocná data V. PAF'!K40*J133</f>
        <v>11250.20431</v>
      </c>
      <c r="K47" s="229">
        <f>'Pomocná data V. PAF'!L40*K133</f>
        <v>57921.52898</v>
      </c>
      <c r="L47" s="229">
        <f>'Pomocná data V. PAF'!M40*L133</f>
        <v>2948.746734</v>
      </c>
      <c r="M47" s="229">
        <f>'Pomocná data V. PAF'!N40*M133</f>
        <v>257.9690129</v>
      </c>
      <c r="N47" s="229">
        <f>'Pomocná data V. PAF'!O40*N133</f>
        <v>1819.030423</v>
      </c>
      <c r="O47" s="229">
        <f>'Pomocná data V. PAF'!P40*O133</f>
        <v>5030.706677</v>
      </c>
      <c r="P47" s="229">
        <f>'Pomocná data V. PAF'!Q40*P133</f>
        <v>772.5490128</v>
      </c>
      <c r="Q47" s="229">
        <f>'Pomocná data V. PAF'!R40*Q133</f>
        <v>2965.878543</v>
      </c>
      <c r="R47" s="229">
        <f>'Pomocná data V. PAF'!S40*R133</f>
        <v>1528.410806</v>
      </c>
      <c r="S47" s="229">
        <f>'Pomocná data V. PAF'!T40*S133</f>
        <v>143.6505708</v>
      </c>
      <c r="T47" s="229">
        <f>'Pomocná data V. PAF'!U40*T133</f>
        <v>606.1232914</v>
      </c>
      <c r="U47" s="229">
        <f>'Pomocná data V. PAF'!V40*U133</f>
        <v>19607.43063</v>
      </c>
      <c r="V47" s="230">
        <f t="shared" si="16"/>
        <v>459623.6943</v>
      </c>
      <c r="X47" s="20"/>
      <c r="Y47" s="82" t="s">
        <v>385</v>
      </c>
      <c r="Z47" s="10"/>
      <c r="AA47" s="82" t="s">
        <v>414</v>
      </c>
      <c r="AB47" s="10"/>
      <c r="AC47" s="82" t="s">
        <v>415</v>
      </c>
      <c r="AD47" s="10"/>
      <c r="AE47" s="82" t="s">
        <v>416</v>
      </c>
      <c r="AF47" s="10"/>
      <c r="AG47" s="79"/>
    </row>
    <row r="48" ht="15.75" customHeight="1">
      <c r="A48" s="243" t="s">
        <v>397</v>
      </c>
      <c r="B48" s="229">
        <f>'Pomocná data V. PAF'!C41*B134</f>
        <v>6674.861446</v>
      </c>
      <c r="C48" s="229">
        <f>'Pomocná data V. PAF'!D41*C134</f>
        <v>368617.3102</v>
      </c>
      <c r="D48" s="229">
        <f>'Pomocná data V. PAF'!E41*D134</f>
        <v>9977.787545</v>
      </c>
      <c r="E48" s="229">
        <f>'Pomocná data V. PAF'!F41*E134</f>
        <v>18519.50061</v>
      </c>
      <c r="F48" s="229">
        <f>'Pomocná data V. PAF'!G41*F134</f>
        <v>458.1870084</v>
      </c>
      <c r="G48" s="229"/>
      <c r="H48" s="229">
        <f>'Pomocná data V. PAF'!I41*H134</f>
        <v>1182.660376</v>
      </c>
      <c r="I48" s="229">
        <f>'Pomocná data V. PAF'!J41*I134</f>
        <v>10903</v>
      </c>
      <c r="J48" s="229">
        <f>'Pomocná data V. PAF'!K41*J134</f>
        <v>12686.50108</v>
      </c>
      <c r="K48" s="229">
        <f>'Pomocná data V. PAF'!L41*K134</f>
        <v>98259.60682</v>
      </c>
      <c r="L48" s="229">
        <f>'Pomocná data V. PAF'!M41*L134</f>
        <v>2806.594153</v>
      </c>
      <c r="M48" s="229">
        <f>'Pomocná data V. PAF'!N41*M134</f>
        <v>966.0907968</v>
      </c>
      <c r="N48" s="229">
        <f>'Pomocná data V. PAF'!O41*N134</f>
        <v>2651.24907</v>
      </c>
      <c r="O48" s="229">
        <f>'Pomocná data V. PAF'!P41*O134</f>
        <v>5193.411753</v>
      </c>
      <c r="P48" s="229">
        <f>'Pomocná data V. PAF'!Q41*P134</f>
        <v>1296.781904</v>
      </c>
      <c r="Q48" s="229">
        <f>'Pomocná data V. PAF'!R41*Q134</f>
        <v>2899.486936</v>
      </c>
      <c r="R48" s="229">
        <f>'Pomocná data V. PAF'!S41*R134</f>
        <v>1699.330682</v>
      </c>
      <c r="S48" s="229">
        <f>'Pomocná data V. PAF'!T41*S134</f>
        <v>399.2374018</v>
      </c>
      <c r="T48" s="229">
        <f>'Pomocná data V. PAF'!U41*T134</f>
        <v>953.9943882</v>
      </c>
      <c r="U48" s="229">
        <f>'Pomocná data V. PAF'!V41*U134</f>
        <v>24105.37135</v>
      </c>
      <c r="V48" s="230">
        <f t="shared" si="16"/>
        <v>570250.9635</v>
      </c>
      <c r="X48" s="222" t="s">
        <v>390</v>
      </c>
      <c r="Y48" s="199" t="s">
        <v>283</v>
      </c>
      <c r="Z48" s="249" t="s">
        <v>284</v>
      </c>
      <c r="AA48" s="82" t="s">
        <v>283</v>
      </c>
      <c r="AB48" s="249" t="s">
        <v>284</v>
      </c>
      <c r="AC48" s="199" t="s">
        <v>283</v>
      </c>
      <c r="AD48" s="249" t="s">
        <v>284</v>
      </c>
      <c r="AE48" s="199" t="s">
        <v>283</v>
      </c>
      <c r="AF48" s="249" t="s">
        <v>284</v>
      </c>
      <c r="AG48" s="79"/>
    </row>
    <row r="49" ht="15.75" customHeight="1">
      <c r="A49" s="243" t="s">
        <v>398</v>
      </c>
      <c r="B49" s="229">
        <f>'Pomocná data V. PAF'!C42*B135</f>
        <v>2055.01045</v>
      </c>
      <c r="C49" s="229">
        <f>'Pomocná data V. PAF'!D42*C135</f>
        <v>115394.6518</v>
      </c>
      <c r="D49" s="229">
        <f>'Pomocná data V. PAF'!E42*D135</f>
        <v>3395.732954</v>
      </c>
      <c r="E49" s="229">
        <f>'Pomocná data V. PAF'!F42*E135</f>
        <v>7645.499636</v>
      </c>
      <c r="F49" s="229">
        <f>'Pomocná data V. PAF'!G42*F135</f>
        <v>381.2991553</v>
      </c>
      <c r="G49" s="229"/>
      <c r="H49" s="229">
        <f>'Pomocná data V. PAF'!I42*H135</f>
        <v>416.206235</v>
      </c>
      <c r="I49" s="229">
        <f>'Pomocná data V. PAF'!J42*I135</f>
        <v>2024</v>
      </c>
      <c r="J49" s="229">
        <f>'Pomocná data V. PAF'!K42*J135</f>
        <v>3455.829371</v>
      </c>
      <c r="K49" s="229">
        <f>'Pomocná data V. PAF'!L42*K135</f>
        <v>38760.98987</v>
      </c>
      <c r="L49" s="229">
        <f>'Pomocná data V. PAF'!M42*L135</f>
        <v>1803.335935</v>
      </c>
      <c r="M49" s="229">
        <f>'Pomocná data V. PAF'!N42*M135</f>
        <v>229.4414881</v>
      </c>
      <c r="N49" s="229">
        <f>'Pomocná data V. PAF'!O42*N135</f>
        <v>1954.541086</v>
      </c>
      <c r="O49" s="229">
        <f>'Pomocná data V. PAF'!P42*O135</f>
        <v>2423.558786</v>
      </c>
      <c r="P49" s="229">
        <f>'Pomocná data V. PAF'!Q42*P135</f>
        <v>632.4814315</v>
      </c>
      <c r="Q49" s="229">
        <f>'Pomocná data V. PAF'!R42*Q135</f>
        <v>2144.164085</v>
      </c>
      <c r="R49" s="229">
        <f>'Pomocná data V. PAF'!S42*R135</f>
        <v>946.3661806</v>
      </c>
      <c r="S49" s="229">
        <f>'Pomocná data V. PAF'!T42*S135</f>
        <v>238.7359009</v>
      </c>
      <c r="T49" s="229">
        <f>'Pomocná data V. PAF'!U42*T135</f>
        <v>787.2148616</v>
      </c>
      <c r="U49" s="229">
        <f>'Pomocná data V. PAF'!V42*U135</f>
        <v>9593.646296</v>
      </c>
      <c r="V49" s="230">
        <f t="shared" si="16"/>
        <v>194282.7055</v>
      </c>
      <c r="X49" s="250" t="s">
        <v>417</v>
      </c>
      <c r="Y49" s="39">
        <v>4352.728347840174</v>
      </c>
      <c r="Z49" s="251">
        <v>2918.051574584708</v>
      </c>
      <c r="AA49" s="39">
        <f>Y49/30.5*'Pomocná data IV.Mzdy a další př'!C4</f>
        <v>3274678.842</v>
      </c>
      <c r="AB49" s="251">
        <f>Z49/30.5*'Pomocná data IV.Mzdy a další př'!D4</f>
        <v>1997286.711</v>
      </c>
      <c r="AC49" s="39">
        <f>(Y49/30.5)*'Pomocná data IV.Mzdy a další př'!E4</f>
        <v>4388069.648</v>
      </c>
      <c r="AD49" s="251">
        <f>(Z49/30.5)*'Pomocná data IV.Mzdy a další př'!F4</f>
        <v>2676364.192</v>
      </c>
      <c r="AE49" s="39">
        <f>(Y49/30.5)*'Pomocná data IV.Mzdy a další př'!G4</f>
        <v>5143367.803</v>
      </c>
      <c r="AF49" s="39">
        <f>(Z49/30.5)*'Pomocná data IV.Mzdy a další př'!H4</f>
        <v>3435887.459</v>
      </c>
      <c r="AG49" s="39"/>
    </row>
    <row r="50" ht="15.75" customHeight="1">
      <c r="A50" s="243" t="s">
        <v>399</v>
      </c>
      <c r="B50" s="229">
        <f>AVERAGE('Pomocná data V. PAF'!C43:C45)*B136</f>
        <v>324.4957974</v>
      </c>
      <c r="C50" s="229">
        <f>AVERAGE('Pomocná data V. PAF'!D43:D45)*C136</f>
        <v>10446.88378</v>
      </c>
      <c r="D50" s="229">
        <f>AVERAGE('Pomocná data V. PAF'!E43:E45)*D136</f>
        <v>303.2216746</v>
      </c>
      <c r="E50" s="229">
        <f>AVERAGE('Pomocná data V. PAF'!F43:F45)*E136</f>
        <v>1863.609669</v>
      </c>
      <c r="F50" s="229">
        <f>AVERAGE('Pomocná data V. PAF'!G43:G45)*F136</f>
        <v>15.85971223</v>
      </c>
      <c r="G50" s="229"/>
      <c r="H50" s="229">
        <f>AVERAGE('Pomocná data V. PAF'!I43:I45)*H136</f>
        <v>184.1245112</v>
      </c>
      <c r="I50" s="229">
        <f>AVERAGE('Pomocná data V. PAF'!J43:J45)*I136</f>
        <v>88</v>
      </c>
      <c r="J50" s="229">
        <f>AVERAGE('Pomocná data V. PAF'!K43:K45)*J136</f>
        <v>834.0470396</v>
      </c>
      <c r="K50" s="229">
        <f>AVERAGE('Pomocná data V. PAF'!L43:L45)*K136</f>
        <v>7596.115607</v>
      </c>
      <c r="L50" s="229">
        <f>AVERAGE('Pomocná data V. PAF'!M43:M45)*L136</f>
        <v>519.1478195</v>
      </c>
      <c r="M50" s="229">
        <f>AVERAGE('Pomocná data V. PAF'!N43:N45)*M136</f>
        <v>19.16447403</v>
      </c>
      <c r="N50" s="229">
        <f>AVERAGE('Pomocná data V. PAF'!O43:O45)*N136</f>
        <v>289.2805752</v>
      </c>
      <c r="O50" s="229">
        <f>AVERAGE('Pomocná data V. PAF'!P43:P45)*O136</f>
        <v>302.1726528</v>
      </c>
      <c r="P50" s="229">
        <f>AVERAGE('Pomocná data V. PAF'!Q43:Q45)*P136</f>
        <v>131.4785871</v>
      </c>
      <c r="Q50" s="229">
        <f>AVERAGE('Pomocná data V. PAF'!R43:R45)*Q136</f>
        <v>402.0260401</v>
      </c>
      <c r="R50" s="229">
        <f>AVERAGE('Pomocná data V. PAF'!S43:S45)*R136</f>
        <v>151.3192571</v>
      </c>
      <c r="S50" s="229">
        <f>AVERAGE('Pomocná data V. PAF'!T43:T45)*S136</f>
        <v>22.96534161</v>
      </c>
      <c r="T50" s="229">
        <f>AVERAGE('Pomocná data V. PAF'!U43:U45)*T136</f>
        <v>216.594607</v>
      </c>
      <c r="U50" s="229">
        <f>AVERAGE('Pomocná data V. PAF'!V43:V45)*U136</f>
        <v>1336.578638</v>
      </c>
      <c r="V50" s="230">
        <f t="shared" si="16"/>
        <v>25047.08578</v>
      </c>
      <c r="X50" s="205" t="s">
        <v>418</v>
      </c>
      <c r="Y50" s="39">
        <v>25574.495492735423</v>
      </c>
      <c r="Z50" s="251">
        <v>30523.485159956588</v>
      </c>
      <c r="AA50" s="39">
        <f>Y50/30.5*'Pomocná data IV.Mzdy a další př'!C5</f>
        <v>22116488.3</v>
      </c>
      <c r="AB50" s="251">
        <f>Z50/30.5*'Pomocná data IV.Mzdy a další př'!D5</f>
        <v>23460050.46</v>
      </c>
      <c r="AC50" s="39">
        <f>(Y50/30.5)*'Pomocná data IV.Mzdy a další př'!E5</f>
        <v>29636094.32</v>
      </c>
      <c r="AD50" s="251">
        <f>(Z50/30.5)*'Pomocná data IV.Mzdy a další př'!F5</f>
        <v>31436467.62</v>
      </c>
      <c r="AE50" s="39">
        <f>(Y50/30.5)*'Pomocná data IV.Mzdy a další př'!G5</f>
        <v>34073855.59</v>
      </c>
      <c r="AF50" s="39">
        <f>(Z50/30.5)*'Pomocná data IV.Mzdy a další př'!H5</f>
        <v>39381254.27</v>
      </c>
      <c r="AG50" s="39"/>
    </row>
    <row r="51" ht="15.75" customHeight="1">
      <c r="A51" s="252" t="s">
        <v>68</v>
      </c>
      <c r="B51" s="253">
        <f t="shared" ref="B51:F51" si="18">SUM(B42:B50)</f>
        <v>25250.17477</v>
      </c>
      <c r="C51" s="253">
        <f t="shared" si="18"/>
        <v>1485683.479</v>
      </c>
      <c r="D51" s="253">
        <f t="shared" si="18"/>
        <v>36585.55927</v>
      </c>
      <c r="E51" s="253">
        <f t="shared" si="18"/>
        <v>50224.36635</v>
      </c>
      <c r="F51" s="253">
        <f t="shared" si="18"/>
        <v>2074.739881</v>
      </c>
      <c r="G51" s="253"/>
      <c r="H51" s="253">
        <f t="shared" ref="H51:U51" si="19">SUM(H42:H50)</f>
        <v>3912.364685</v>
      </c>
      <c r="I51" s="253">
        <f t="shared" si="19"/>
        <v>88927</v>
      </c>
      <c r="J51" s="253">
        <f t="shared" si="19"/>
        <v>57331.9811</v>
      </c>
      <c r="K51" s="253">
        <f t="shared" si="19"/>
        <v>254114.8444</v>
      </c>
      <c r="L51" s="253">
        <f t="shared" si="19"/>
        <v>15668.54157</v>
      </c>
      <c r="M51" s="253">
        <f t="shared" si="19"/>
        <v>1912.312387</v>
      </c>
      <c r="N51" s="253">
        <f t="shared" si="19"/>
        <v>8641.016629</v>
      </c>
      <c r="O51" s="253">
        <f t="shared" si="19"/>
        <v>21673.96432</v>
      </c>
      <c r="P51" s="253">
        <f t="shared" si="19"/>
        <v>3261.851098</v>
      </c>
      <c r="Q51" s="253">
        <f t="shared" si="19"/>
        <v>11956.43753</v>
      </c>
      <c r="R51" s="253">
        <f t="shared" si="19"/>
        <v>7571.915985</v>
      </c>
      <c r="S51" s="253">
        <f t="shared" si="19"/>
        <v>997.3564534</v>
      </c>
      <c r="T51" s="253">
        <f t="shared" si="19"/>
        <v>3118.876224</v>
      </c>
      <c r="U51" s="253">
        <f t="shared" si="19"/>
        <v>84029.88551</v>
      </c>
      <c r="V51" s="254">
        <f t="shared" si="16"/>
        <v>2162936.667</v>
      </c>
      <c r="X51" s="205" t="s">
        <v>391</v>
      </c>
      <c r="Y51" s="39">
        <v>43974.24083927985</v>
      </c>
      <c r="Z51" s="251">
        <v>53471.735974226656</v>
      </c>
      <c r="AA51" s="39">
        <f>Y51/30.5*'Pomocná data IV.Mzdy a další př'!C6</f>
        <v>45873062.98</v>
      </c>
      <c r="AB51" s="251">
        <f>Z51/30.5*'Pomocná data IV.Mzdy a další př'!D6</f>
        <v>49639302.7</v>
      </c>
      <c r="AC51" s="39">
        <f>(Y51/30.5)*'Pomocná data IV.Mzdy a další př'!E6</f>
        <v>61469904.39</v>
      </c>
      <c r="AD51" s="251">
        <f>(Z51/30.5)*'Pomocná data IV.Mzdy a další př'!F6</f>
        <v>66516665.62</v>
      </c>
      <c r="AE51" s="39">
        <f>(Y51/30.5)*'Pomocná data IV.Mzdy a další př'!G6</f>
        <v>69100443.29</v>
      </c>
      <c r="AF51" s="39">
        <f>(Z51/30.5)*'Pomocná data IV.Mzdy a další př'!H6</f>
        <v>80434523.68</v>
      </c>
      <c r="AG51" s="39"/>
    </row>
    <row r="52" ht="15.75" customHeight="1">
      <c r="U52" s="239" t="s">
        <v>412</v>
      </c>
      <c r="V52" s="240">
        <f>SUM(B42:U49)</f>
        <v>2137889.581</v>
      </c>
      <c r="X52" s="205" t="s">
        <v>392</v>
      </c>
      <c r="Y52" s="39">
        <v>83794.30676020971</v>
      </c>
      <c r="Z52" s="251">
        <v>78734.3303502577</v>
      </c>
      <c r="AA52" s="39">
        <f>Y52/30.5*'Pomocná data IV.Mzdy a další př'!C7</f>
        <v>100264695.9</v>
      </c>
      <c r="AB52" s="251">
        <f>Z52/30.5*'Pomocná data IV.Mzdy a další př'!D7</f>
        <v>79121548.37</v>
      </c>
      <c r="AC52" s="39">
        <f>(Y52/30.5)*'Pomocná data IV.Mzdy a další př'!E7</f>
        <v>134354692.5</v>
      </c>
      <c r="AD52" s="251">
        <f>(Z52/30.5)*'Pomocná data IV.Mzdy a další př'!F7</f>
        <v>106022874.8</v>
      </c>
      <c r="AE52" s="39">
        <f>(Y52/30.5)*'Pomocná data IV.Mzdy a další př'!G7</f>
        <v>148894925.7</v>
      </c>
      <c r="AF52" s="39">
        <f>(Z52/30.5)*'Pomocná data IV.Mzdy a další př'!H7</f>
        <v>126516191.8</v>
      </c>
      <c r="AG52" s="39"/>
    </row>
    <row r="53" ht="15.75" customHeight="1">
      <c r="A53" s="218" t="s">
        <v>419</v>
      </c>
      <c r="B53" s="219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55"/>
      <c r="W53" s="221"/>
      <c r="X53" s="221"/>
      <c r="Y53" s="256"/>
      <c r="Z53" s="256"/>
      <c r="AA53" s="256"/>
      <c r="AB53" s="256"/>
      <c r="AC53" s="256"/>
      <c r="AD53" s="256"/>
      <c r="AE53" s="39">
        <f>(Y53/30.5)*'Pomocná data IV.Mzdy a další př'!G8</f>
        <v>0</v>
      </c>
      <c r="AF53" s="39">
        <f>(Z53/30.5)*'Pomocná data IV.Mzdy a další př'!H8</f>
        <v>0</v>
      </c>
      <c r="AG53" s="39"/>
    </row>
    <row r="54" ht="15.75" customHeight="1">
      <c r="A54" s="198"/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257"/>
      <c r="W54" s="198"/>
      <c r="X54" s="198"/>
      <c r="Y54" s="36"/>
      <c r="Z54" s="36"/>
      <c r="AA54" s="36"/>
      <c r="AB54" s="36"/>
      <c r="AC54" s="36"/>
      <c r="AD54" s="36"/>
      <c r="AE54" s="39"/>
      <c r="AF54" s="39"/>
      <c r="AG54" s="39"/>
    </row>
    <row r="55" ht="15.75" customHeight="1">
      <c r="A55" s="258" t="s">
        <v>402</v>
      </c>
      <c r="B55" s="194"/>
      <c r="C55" s="195"/>
      <c r="D55" s="163"/>
      <c r="E55" s="163"/>
      <c r="F55" s="163"/>
      <c r="G55" s="163"/>
      <c r="H55" s="163"/>
      <c r="I55" s="163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257"/>
      <c r="W55" s="198"/>
      <c r="X55" s="198"/>
      <c r="Y55" s="36"/>
      <c r="Z55" s="36"/>
      <c r="AA55" s="36"/>
      <c r="AB55" s="36"/>
      <c r="AC55" s="36"/>
      <c r="AD55" s="36"/>
      <c r="AE55" s="39"/>
      <c r="AF55" s="39"/>
      <c r="AG55" s="39"/>
    </row>
    <row r="56" ht="15.75" customHeight="1">
      <c r="A56" s="222" t="s">
        <v>404</v>
      </c>
      <c r="B56" s="223" t="s">
        <v>288</v>
      </c>
      <c r="C56" s="223" t="s">
        <v>405</v>
      </c>
      <c r="D56" s="223" t="s">
        <v>292</v>
      </c>
      <c r="E56" s="223" t="s">
        <v>294</v>
      </c>
      <c r="F56" s="223" t="s">
        <v>296</v>
      </c>
      <c r="G56" s="223" t="s">
        <v>298</v>
      </c>
      <c r="H56" s="223" t="s">
        <v>300</v>
      </c>
      <c r="I56" s="223" t="s">
        <v>89</v>
      </c>
      <c r="J56" s="223" t="s">
        <v>303</v>
      </c>
      <c r="K56" s="223" t="s">
        <v>305</v>
      </c>
      <c r="L56" s="223" t="s">
        <v>307</v>
      </c>
      <c r="M56" s="223" t="s">
        <v>406</v>
      </c>
      <c r="N56" s="223" t="s">
        <v>311</v>
      </c>
      <c r="O56" s="223" t="s">
        <v>313</v>
      </c>
      <c r="P56" s="223" t="s">
        <v>315</v>
      </c>
      <c r="Q56" s="223" t="s">
        <v>407</v>
      </c>
      <c r="R56" s="223" t="s">
        <v>319</v>
      </c>
      <c r="S56" s="223" t="s">
        <v>321</v>
      </c>
      <c r="T56" s="223" t="s">
        <v>323</v>
      </c>
      <c r="U56" s="223" t="s">
        <v>408</v>
      </c>
      <c r="V56" s="259" t="s">
        <v>68</v>
      </c>
      <c r="W56" s="198"/>
      <c r="X56" s="198"/>
      <c r="Y56" s="36"/>
      <c r="Z56" s="36"/>
      <c r="AA56" s="36"/>
      <c r="AB56" s="36"/>
      <c r="AC56" s="36"/>
      <c r="AD56" s="36"/>
      <c r="AE56" s="39"/>
      <c r="AF56" s="39"/>
      <c r="AG56" s="39"/>
    </row>
    <row r="57" ht="15.75" customHeight="1">
      <c r="A57" s="205" t="s">
        <v>391</v>
      </c>
      <c r="B57" s="260">
        <f>B114*'Pomocná data V. PAF'!C58</f>
        <v>110.34257</v>
      </c>
      <c r="C57" s="260">
        <f>C114*'Pomocná data V. PAF'!D58</f>
        <v>36151.17764</v>
      </c>
      <c r="D57" s="260">
        <f>D114*'Pomocná data V. PAF'!E58</f>
        <v>730.3068334</v>
      </c>
      <c r="E57" s="260">
        <f>E114*'Pomocná data V. PAF'!F58</f>
        <v>107.0143284</v>
      </c>
      <c r="F57" s="260">
        <f>F114*'Pomocná data V. PAF'!G58</f>
        <v>0</v>
      </c>
      <c r="G57" s="260">
        <f>G114*'Pomocná data V. PAF'!H58</f>
        <v>3.854648442</v>
      </c>
      <c r="H57" s="260">
        <f>H114*'Pomocná data V. PAF'!I58</f>
        <v>22.95666688</v>
      </c>
      <c r="I57" s="260">
        <f>I114*'Pomocná data V. PAF'!J58</f>
        <v>3028</v>
      </c>
      <c r="J57" s="260">
        <f>J114*'Pomocná data V. PAF'!K58</f>
        <v>19.6444645</v>
      </c>
      <c r="K57" s="260">
        <f>K114*'Pomocná data V. PAF'!L58</f>
        <v>2901.630053</v>
      </c>
      <c r="L57" s="260">
        <f>L114*'Pomocná data V. PAF'!M58</f>
        <v>223.049143</v>
      </c>
      <c r="M57" s="260">
        <f>M114*'Pomocná data V. PAF'!N58</f>
        <v>0</v>
      </c>
      <c r="N57" s="260">
        <f>N114*'Pomocná data V. PAF'!O58</f>
        <v>21.00490383</v>
      </c>
      <c r="O57" s="260">
        <f>O114*'Pomocná data V. PAF'!P58</f>
        <v>0</v>
      </c>
      <c r="P57" s="260">
        <f>P114*'Pomocná data V. PAF'!Q58</f>
        <v>0</v>
      </c>
      <c r="Q57" s="260">
        <f>Q114*'Pomocná data V. PAF'!R58</f>
        <v>18.26040742</v>
      </c>
      <c r="R57" s="260">
        <f>R114*'Pomocná data V. PAF'!S58</f>
        <v>0</v>
      </c>
      <c r="S57" s="260">
        <f>S114*'Pomocná data V. PAF'!T58</f>
        <v>0.2688333576</v>
      </c>
      <c r="T57" s="260">
        <f>T114*'Pomocná data V. PAF'!U58</f>
        <v>20.22622708</v>
      </c>
      <c r="U57" s="260">
        <f>U114*'Pomocná data V. PAF'!V58</f>
        <v>480.0943484</v>
      </c>
      <c r="V57" s="261">
        <f t="shared" ref="V57:V65" si="20">SUM(B57:U57)</f>
        <v>43837.83107</v>
      </c>
      <c r="W57" s="198"/>
      <c r="X57" s="198"/>
      <c r="Y57" s="36"/>
      <c r="Z57" s="36"/>
      <c r="AA57" s="36"/>
      <c r="AB57" s="36"/>
      <c r="AC57" s="36"/>
      <c r="AD57" s="36"/>
      <c r="AE57" s="39"/>
      <c r="AF57" s="39"/>
      <c r="AG57" s="39"/>
    </row>
    <row r="58" ht="15.75" customHeight="1">
      <c r="A58" s="205" t="s">
        <v>392</v>
      </c>
      <c r="B58" s="260">
        <f>B115*'Pomocná data V. PAF'!C59</f>
        <v>187.0781804</v>
      </c>
      <c r="C58" s="260">
        <f>C115*'Pomocná data V. PAF'!D59</f>
        <v>59435.22074</v>
      </c>
      <c r="D58" s="260">
        <f>D115*'Pomocná data V. PAF'!E59</f>
        <v>993.5067878</v>
      </c>
      <c r="E58" s="260">
        <f>E115*'Pomocná data V. PAF'!F59</f>
        <v>440.6366389</v>
      </c>
      <c r="F58" s="260">
        <f>F115*'Pomocná data V. PAF'!G59</f>
        <v>0</v>
      </c>
      <c r="G58" s="260">
        <f>G115*'Pomocná data V. PAF'!H59</f>
        <v>8.497936121</v>
      </c>
      <c r="H58" s="260">
        <f>H115*'Pomocná data V. PAF'!I59</f>
        <v>63.01844481</v>
      </c>
      <c r="I58" s="260">
        <f>I115*'Pomocná data V. PAF'!J59</f>
        <v>1220</v>
      </c>
      <c r="J58" s="260">
        <f>J115*'Pomocná data V. PAF'!K59</f>
        <v>44.35197806</v>
      </c>
      <c r="K58" s="260">
        <f>K115*'Pomocná data V. PAF'!L59</f>
        <v>4935.735603</v>
      </c>
      <c r="L58" s="260">
        <f>L115*'Pomocná data V. PAF'!M59</f>
        <v>498.0321555</v>
      </c>
      <c r="M58" s="260">
        <f>M115*'Pomocná data V. PAF'!N59</f>
        <v>0</v>
      </c>
      <c r="N58" s="260">
        <f>N115*'Pomocná data V. PAF'!O59</f>
        <v>140.8416164</v>
      </c>
      <c r="O58" s="260">
        <f>O115*'Pomocná data V. PAF'!P59</f>
        <v>0</v>
      </c>
      <c r="P58" s="260">
        <f>P115*'Pomocná data V. PAF'!Q59</f>
        <v>18.3485345</v>
      </c>
      <c r="Q58" s="260">
        <f>Q115*'Pomocná data V. PAF'!R59</f>
        <v>69.94265663</v>
      </c>
      <c r="R58" s="260">
        <f>R115*'Pomocná data V. PAF'!S59</f>
        <v>0</v>
      </c>
      <c r="S58" s="260">
        <f>S115*'Pomocná data V. PAF'!T59</f>
        <v>0</v>
      </c>
      <c r="T58" s="260">
        <f>T115*'Pomocná data V. PAF'!U59</f>
        <v>22.84380894</v>
      </c>
      <c r="U58" s="260">
        <f>U115*'Pomocná data V. PAF'!V59</f>
        <v>1053.91048</v>
      </c>
      <c r="V58" s="261">
        <f t="shared" si="20"/>
        <v>69131.96556</v>
      </c>
      <c r="W58" s="198"/>
      <c r="X58" s="198"/>
      <c r="Y58" s="36"/>
      <c r="Z58" s="36"/>
      <c r="AA58" s="36"/>
      <c r="AB58" s="36"/>
      <c r="AC58" s="36"/>
      <c r="AD58" s="36"/>
      <c r="AE58" s="39"/>
      <c r="AF58" s="39"/>
      <c r="AG58" s="39"/>
    </row>
    <row r="59" ht="15.75" customHeight="1">
      <c r="A59" s="205" t="s">
        <v>393</v>
      </c>
      <c r="B59" s="260">
        <f>B116*'Pomocná data V. PAF'!C60</f>
        <v>233.4794945</v>
      </c>
      <c r="C59" s="260">
        <f>C116*'Pomocná data V. PAF'!D60</f>
        <v>103504.2949</v>
      </c>
      <c r="D59" s="260">
        <f>D116*'Pomocná data V. PAF'!E60</f>
        <v>2643.144891</v>
      </c>
      <c r="E59" s="260">
        <f>E116*'Pomocná data V. PAF'!F60</f>
        <v>1544.281901</v>
      </c>
      <c r="F59" s="260">
        <f>F116*'Pomocná data V. PAF'!G60</f>
        <v>0</v>
      </c>
      <c r="G59" s="260">
        <f>G116*'Pomocná data V. PAF'!H60</f>
        <v>26.65864798</v>
      </c>
      <c r="H59" s="260">
        <f>H116*'Pomocná data V. PAF'!I60</f>
        <v>67.66589785</v>
      </c>
      <c r="I59" s="260">
        <f>I116*'Pomocná data V. PAF'!J60</f>
        <v>6233</v>
      </c>
      <c r="J59" s="260">
        <f>J116*'Pomocná data V. PAF'!K60</f>
        <v>106.4265102</v>
      </c>
      <c r="K59" s="260">
        <f>K116*'Pomocná data V. PAF'!L60</f>
        <v>12858.43983</v>
      </c>
      <c r="L59" s="260">
        <f>L116*'Pomocná data V. PAF'!M60</f>
        <v>1026.260175</v>
      </c>
      <c r="M59" s="260">
        <f>M116*'Pomocná data V. PAF'!N60</f>
        <v>0</v>
      </c>
      <c r="N59" s="260">
        <f>N116*'Pomocná data V. PAF'!O60</f>
        <v>305.2463392</v>
      </c>
      <c r="O59" s="260">
        <f>O116*'Pomocná data V. PAF'!P60</f>
        <v>0</v>
      </c>
      <c r="P59" s="260">
        <f>P116*'Pomocná data V. PAF'!Q60</f>
        <v>12.13272949</v>
      </c>
      <c r="Q59" s="260">
        <f>Q116*'Pomocná data V. PAF'!R60</f>
        <v>1017.686035</v>
      </c>
      <c r="R59" s="260">
        <f>R116*'Pomocná data V. PAF'!S60</f>
        <v>0</v>
      </c>
      <c r="S59" s="260">
        <f>S116*'Pomocná data V. PAF'!T60</f>
        <v>0</v>
      </c>
      <c r="T59" s="260">
        <f>T116*'Pomocná data V. PAF'!U60</f>
        <v>45.86286408</v>
      </c>
      <c r="U59" s="260">
        <f>U116*'Pomocná data V. PAF'!V60</f>
        <v>2270.537105</v>
      </c>
      <c r="V59" s="261">
        <f t="shared" si="20"/>
        <v>131895.1173</v>
      </c>
      <c r="W59" s="198"/>
      <c r="X59" s="198"/>
      <c r="Y59" s="36"/>
      <c r="Z59" s="36"/>
      <c r="AA59" s="36"/>
      <c r="AB59" s="36"/>
      <c r="AC59" s="36"/>
      <c r="AD59" s="36"/>
      <c r="AE59" s="39"/>
      <c r="AF59" s="39"/>
      <c r="AG59" s="39"/>
    </row>
    <row r="60" ht="15.75" customHeight="1">
      <c r="A60" s="205" t="s">
        <v>394</v>
      </c>
      <c r="B60" s="260">
        <f>B117*'Pomocná data V. PAF'!C61</f>
        <v>451.6954497</v>
      </c>
      <c r="C60" s="260">
        <f>C117*'Pomocná data V. PAF'!D61</f>
        <v>157961.2941</v>
      </c>
      <c r="D60" s="260">
        <f>D117*'Pomocná data V. PAF'!E61</f>
        <v>5784.389073</v>
      </c>
      <c r="E60" s="260">
        <f>E117*'Pomocná data V. PAF'!F61</f>
        <v>4163.618857</v>
      </c>
      <c r="F60" s="260">
        <f>F117*'Pomocná data V. PAF'!G61</f>
        <v>0</v>
      </c>
      <c r="G60" s="260">
        <f>G117*'Pomocná data V. PAF'!H61</f>
        <v>39.339036</v>
      </c>
      <c r="H60" s="260">
        <f>H117*'Pomocná data V. PAF'!I61</f>
        <v>272.9855458</v>
      </c>
      <c r="I60" s="260">
        <f>I117*'Pomocná data V. PAF'!J61</f>
        <v>11742</v>
      </c>
      <c r="J60" s="260">
        <f>J117*'Pomocná data V. PAF'!K61</f>
        <v>208.6546198</v>
      </c>
      <c r="K60" s="260">
        <f>K117*'Pomocná data V. PAF'!L61</f>
        <v>27028.91701</v>
      </c>
      <c r="L60" s="260">
        <f>L117*'Pomocná data V. PAF'!M61</f>
        <v>2029.319098</v>
      </c>
      <c r="M60" s="260">
        <f>M117*'Pomocná data V. PAF'!N61</f>
        <v>0</v>
      </c>
      <c r="N60" s="260">
        <f>N117*'Pomocná data V. PAF'!O61</f>
        <v>710.3665985</v>
      </c>
      <c r="O60" s="260">
        <f>O117*'Pomocná data V. PAF'!P61</f>
        <v>0</v>
      </c>
      <c r="P60" s="260">
        <f>P117*'Pomocná data V. PAF'!Q61</f>
        <v>328.9785396</v>
      </c>
      <c r="Q60" s="260">
        <f>Q117*'Pomocná data V. PAF'!R61</f>
        <v>751.9044343</v>
      </c>
      <c r="R60" s="260">
        <f>R117*'Pomocná data V. PAF'!S61</f>
        <v>0</v>
      </c>
      <c r="S60" s="260">
        <f>S117*'Pomocná data V. PAF'!T61</f>
        <v>3.884723837</v>
      </c>
      <c r="T60" s="260">
        <f>T117*'Pomocná data V. PAF'!U61</f>
        <v>422.2208036</v>
      </c>
      <c r="U60" s="260">
        <f>U117*'Pomocná data V. PAF'!V61</f>
        <v>5493.202363</v>
      </c>
      <c r="V60" s="261">
        <f t="shared" si="20"/>
        <v>217392.7703</v>
      </c>
      <c r="W60" s="198"/>
      <c r="X60" s="198"/>
      <c r="Y60" s="36"/>
      <c r="Z60" s="36"/>
      <c r="AA60" s="36"/>
      <c r="AB60" s="36"/>
      <c r="AC60" s="36"/>
      <c r="AD60" s="36"/>
      <c r="AE60" s="39"/>
      <c r="AF60" s="39"/>
      <c r="AG60" s="39"/>
    </row>
    <row r="61" ht="15.75" customHeight="1">
      <c r="A61" s="205" t="s">
        <v>395</v>
      </c>
      <c r="B61" s="260">
        <f>B118*'Pomocná data V. PAF'!C62</f>
        <v>525.4509281</v>
      </c>
      <c r="C61" s="260">
        <f>C118*'Pomocná data V. PAF'!D62</f>
        <v>164565.0875</v>
      </c>
      <c r="D61" s="260">
        <f>D118*'Pomocná data V. PAF'!E62</f>
        <v>9471.222247</v>
      </c>
      <c r="E61" s="260">
        <f>E118*'Pomocná data V. PAF'!F62</f>
        <v>8848.841698</v>
      </c>
      <c r="F61" s="260">
        <f>F118*'Pomocná data V. PAF'!G62</f>
        <v>0</v>
      </c>
      <c r="G61" s="260">
        <f>G118*'Pomocná data V. PAF'!H62</f>
        <v>112.1954701</v>
      </c>
      <c r="H61" s="260">
        <f>H118*'Pomocná data V. PAF'!I62</f>
        <v>610.1205823</v>
      </c>
      <c r="I61" s="260">
        <f>I118*'Pomocná data V. PAF'!J62</f>
        <v>6912</v>
      </c>
      <c r="J61" s="260">
        <f>J118*'Pomocná data V. PAF'!K62</f>
        <v>241.8044702</v>
      </c>
      <c r="K61" s="260">
        <f>K118*'Pomocná data V. PAF'!L62</f>
        <v>47112.66535</v>
      </c>
      <c r="L61" s="260">
        <f>L118*'Pomocná data V. PAF'!M62</f>
        <v>3466.594092</v>
      </c>
      <c r="M61" s="260">
        <f>M118*'Pomocná data V. PAF'!N62</f>
        <v>0</v>
      </c>
      <c r="N61" s="260">
        <f>N118*'Pomocná data V. PAF'!O62</f>
        <v>1062.912821</v>
      </c>
      <c r="O61" s="260">
        <f>O118*'Pomocná data V. PAF'!P62</f>
        <v>0</v>
      </c>
      <c r="P61" s="260">
        <f>P118*'Pomocná data V. PAF'!Q62</f>
        <v>806.6606285</v>
      </c>
      <c r="Q61" s="260">
        <f>Q118*'Pomocná data V. PAF'!R62</f>
        <v>2025.292981</v>
      </c>
      <c r="R61" s="260">
        <f>R118*'Pomocná data V. PAF'!S62</f>
        <v>0</v>
      </c>
      <c r="S61" s="260">
        <f>S118*'Pomocná data V. PAF'!T62</f>
        <v>125.2492744</v>
      </c>
      <c r="T61" s="260">
        <f>T118*'Pomocná data V. PAF'!U62</f>
        <v>624.2684514</v>
      </c>
      <c r="U61" s="260">
        <f>U118*'Pomocná data V. PAF'!V62</f>
        <v>8427.937321</v>
      </c>
      <c r="V61" s="261">
        <f t="shared" si="20"/>
        <v>254938.3038</v>
      </c>
      <c r="W61" s="198"/>
      <c r="X61" s="198"/>
      <c r="Y61" s="36"/>
      <c r="Z61" s="36"/>
      <c r="AA61" s="36"/>
      <c r="AB61" s="36"/>
      <c r="AC61" s="36"/>
      <c r="AD61" s="36"/>
      <c r="AE61" s="39"/>
      <c r="AF61" s="39"/>
      <c r="AG61" s="39"/>
    </row>
    <row r="62" ht="15.75" customHeight="1">
      <c r="A62" s="205" t="s">
        <v>396</v>
      </c>
      <c r="B62" s="260">
        <f>B119*'Pomocná data V. PAF'!C63</f>
        <v>698.055315</v>
      </c>
      <c r="C62" s="260">
        <f>C119*'Pomocná data V. PAF'!D63</f>
        <v>202470.7074</v>
      </c>
      <c r="D62" s="260">
        <f>D119*'Pomocná data V. PAF'!E63</f>
        <v>14296.19884</v>
      </c>
      <c r="E62" s="260">
        <f>E119*'Pomocná data V. PAF'!F63</f>
        <v>21109.04084</v>
      </c>
      <c r="F62" s="260">
        <f>F119*'Pomocná data V. PAF'!G63</f>
        <v>0</v>
      </c>
      <c r="G62" s="260">
        <f>G119*'Pomocná data V. PAF'!H63</f>
        <v>81.98419223</v>
      </c>
      <c r="H62" s="260">
        <f>H119*'Pomocná data V. PAF'!I63</f>
        <v>1703.643655</v>
      </c>
      <c r="I62" s="260">
        <f>I119*'Pomocná data V. PAF'!J63</f>
        <v>11380</v>
      </c>
      <c r="J62" s="260">
        <f>J119*'Pomocná data V. PAF'!K63</f>
        <v>310.0645613</v>
      </c>
      <c r="K62" s="260">
        <f>K119*'Pomocná data V. PAF'!L63</f>
        <v>93348.79334</v>
      </c>
      <c r="L62" s="260">
        <f>L119*'Pomocná data V. PAF'!M63</f>
        <v>3606.875921</v>
      </c>
      <c r="M62" s="260">
        <f>M119*'Pomocná data V. PAF'!N63</f>
        <v>0</v>
      </c>
      <c r="N62" s="260">
        <f>N119*'Pomocná data V. PAF'!O63</f>
        <v>2262.47796</v>
      </c>
      <c r="O62" s="260">
        <f>O119*'Pomocná data V. PAF'!P63</f>
        <v>0</v>
      </c>
      <c r="P62" s="260">
        <f>P119*'Pomocná data V. PAF'!Q63</f>
        <v>1516.525146</v>
      </c>
      <c r="Q62" s="260">
        <f>Q119*'Pomocná data V. PAF'!R63</f>
        <v>4833.85725</v>
      </c>
      <c r="R62" s="260">
        <f>R119*'Pomocná data V. PAF'!S63</f>
        <v>0</v>
      </c>
      <c r="S62" s="260">
        <f>S119*'Pomocná data V. PAF'!T63</f>
        <v>88.40369845</v>
      </c>
      <c r="T62" s="260">
        <f>T119*'Pomocná data V. PAF'!U63</f>
        <v>549.081454</v>
      </c>
      <c r="U62" s="260">
        <f>U119*'Pomocná data V. PAF'!V63</f>
        <v>11892.37773</v>
      </c>
      <c r="V62" s="261">
        <f t="shared" si="20"/>
        <v>370148.0873</v>
      </c>
      <c r="W62" s="198"/>
      <c r="X62" s="198"/>
      <c r="Y62" s="36"/>
      <c r="Z62" s="36"/>
      <c r="AA62" s="36"/>
      <c r="AB62" s="36"/>
      <c r="AC62" s="36"/>
      <c r="AD62" s="36"/>
      <c r="AE62" s="39"/>
      <c r="AF62" s="39"/>
      <c r="AG62" s="39"/>
    </row>
    <row r="63" ht="15.75" customHeight="1">
      <c r="A63" s="205" t="s">
        <v>397</v>
      </c>
      <c r="B63" s="260">
        <f>B120*'Pomocná data V. PAF'!C64</f>
        <v>837.1925846</v>
      </c>
      <c r="C63" s="260">
        <f>C120*'Pomocná data V. PAF'!D64</f>
        <v>224659.4058</v>
      </c>
      <c r="D63" s="260">
        <f>D120*'Pomocná data V. PAF'!E64</f>
        <v>21330.24633</v>
      </c>
      <c r="E63" s="260">
        <f>E120*'Pomocná data V. PAF'!F64</f>
        <v>26296.51934</v>
      </c>
      <c r="F63" s="260">
        <f>F120*'Pomocná data V. PAF'!G64</f>
        <v>0</v>
      </c>
      <c r="G63" s="260">
        <f>G120*'Pomocná data V. PAF'!H64</f>
        <v>96.66256903</v>
      </c>
      <c r="H63" s="260">
        <f>H120*'Pomocná data V. PAF'!I64</f>
        <v>2220.235457</v>
      </c>
      <c r="I63" s="260">
        <f>I120*'Pomocná data V. PAF'!J64</f>
        <v>2864</v>
      </c>
      <c r="J63" s="260">
        <f>J120*'Pomocná data V. PAF'!K64</f>
        <v>342.5640263</v>
      </c>
      <c r="K63" s="260">
        <f>K120*'Pomocná data V. PAF'!L64</f>
        <v>136248.5073</v>
      </c>
      <c r="L63" s="260">
        <f>L120*'Pomocná data V. PAF'!M64</f>
        <v>5334.886222</v>
      </c>
      <c r="M63" s="260">
        <f>M120*'Pomocná data V. PAF'!N64</f>
        <v>0</v>
      </c>
      <c r="N63" s="260">
        <f>N120*'Pomocná data V. PAF'!O64</f>
        <v>3306.846614</v>
      </c>
      <c r="O63" s="260">
        <f>O120*'Pomocná data V. PAF'!P64</f>
        <v>0</v>
      </c>
      <c r="P63" s="260">
        <f>P120*'Pomocná data V. PAF'!Q64</f>
        <v>1431.903552</v>
      </c>
      <c r="Q63" s="260">
        <f>Q120*'Pomocná data V. PAF'!R64</f>
        <v>5312.975649</v>
      </c>
      <c r="R63" s="260">
        <f>R120*'Pomocná data V. PAF'!S64</f>
        <v>0</v>
      </c>
      <c r="S63" s="260">
        <f>S120*'Pomocná data V. PAF'!T64</f>
        <v>74.4563189</v>
      </c>
      <c r="T63" s="260">
        <f>T120*'Pomocná data V. PAF'!U64</f>
        <v>1471.833229</v>
      </c>
      <c r="U63" s="260">
        <f>U120*'Pomocná data V. PAF'!V64</f>
        <v>13599.77132</v>
      </c>
      <c r="V63" s="261">
        <f t="shared" si="20"/>
        <v>445428.0063</v>
      </c>
      <c r="W63" s="198"/>
      <c r="X63" s="198"/>
      <c r="Y63" s="36"/>
      <c r="Z63" s="36"/>
      <c r="AA63" s="36"/>
      <c r="AB63" s="36"/>
      <c r="AC63" s="36"/>
      <c r="AD63" s="36"/>
      <c r="AE63" s="39"/>
      <c r="AF63" s="39"/>
      <c r="AG63" s="39"/>
    </row>
    <row r="64" ht="15.75" customHeight="1">
      <c r="A64" s="205" t="s">
        <v>398</v>
      </c>
      <c r="B64" s="260">
        <f>B121*'Pomocná data V. PAF'!C65</f>
        <v>638.2091024</v>
      </c>
      <c r="C64" s="260">
        <f>C121*'Pomocná data V. PAF'!D65</f>
        <v>251236.3841</v>
      </c>
      <c r="D64" s="260">
        <f>D121*'Pomocná data V. PAF'!E65</f>
        <v>19031.35041</v>
      </c>
      <c r="E64" s="260">
        <f>E121*'Pomocná data V. PAF'!F65</f>
        <v>34749.9438</v>
      </c>
      <c r="F64" s="260">
        <f>F121*'Pomocná data V. PAF'!G65</f>
        <v>0</v>
      </c>
      <c r="G64" s="260">
        <f>G121*'Pomocná data V. PAF'!H65</f>
        <v>101.6666927</v>
      </c>
      <c r="H64" s="260">
        <f>H121*'Pomocná data V. PAF'!I65</f>
        <v>2982.648571</v>
      </c>
      <c r="I64" s="260">
        <f>I121*'Pomocná data V. PAF'!J65</f>
        <v>1660</v>
      </c>
      <c r="J64" s="260">
        <f>J121*'Pomocná data V. PAF'!K65</f>
        <v>303.54749</v>
      </c>
      <c r="K64" s="260">
        <f>K121*'Pomocná data V. PAF'!L65</f>
        <v>179614.8791</v>
      </c>
      <c r="L64" s="260">
        <f>L121*'Pomocná data V. PAF'!M65</f>
        <v>5272.701118</v>
      </c>
      <c r="M64" s="260">
        <f>M121*'Pomocná data V. PAF'!N65</f>
        <v>0</v>
      </c>
      <c r="N64" s="260">
        <f>N121*'Pomocná data V. PAF'!O65</f>
        <v>4512.089244</v>
      </c>
      <c r="O64" s="260">
        <f>O121*'Pomocná data V. PAF'!P65</f>
        <v>0</v>
      </c>
      <c r="P64" s="260">
        <f>P121*'Pomocná data V. PAF'!Q65</f>
        <v>2255.296404</v>
      </c>
      <c r="Q64" s="260">
        <f>Q121*'Pomocná data V. PAF'!R65</f>
        <v>6912.404554</v>
      </c>
      <c r="R64" s="260">
        <f>R121*'Pomocná data V. PAF'!S65</f>
        <v>0</v>
      </c>
      <c r="S64" s="260">
        <f>S121*'Pomocná data V. PAF'!T65</f>
        <v>118.5523811</v>
      </c>
      <c r="T64" s="260">
        <f>T121*'Pomocná data V. PAF'!U65</f>
        <v>1324.357392</v>
      </c>
      <c r="U64" s="260">
        <f>U121*'Pomocná data V. PAF'!V65</f>
        <v>15339.68901</v>
      </c>
      <c r="V64" s="261">
        <f t="shared" si="20"/>
        <v>526053.7193</v>
      </c>
      <c r="W64" s="198"/>
      <c r="X64" s="198"/>
      <c r="Y64" s="36"/>
      <c r="Z64" s="36"/>
      <c r="AA64" s="36"/>
      <c r="AB64" s="36"/>
      <c r="AC64" s="36"/>
      <c r="AD64" s="36"/>
      <c r="AE64" s="39"/>
      <c r="AF64" s="39"/>
      <c r="AG64" s="39"/>
    </row>
    <row r="65" ht="15.75" customHeight="1">
      <c r="A65" s="205" t="s">
        <v>399</v>
      </c>
      <c r="B65" s="260">
        <f>B122*'Pomocná data V. PAF'!C66</f>
        <v>73.09308587</v>
      </c>
      <c r="C65" s="260">
        <f>C122*'Pomocná data V. PAF'!D66</f>
        <v>14029.39939</v>
      </c>
      <c r="D65" s="260">
        <f>D122*'Pomocná data V. PAF'!E66</f>
        <v>2250.504191</v>
      </c>
      <c r="E65" s="260">
        <f>E122*'Pomocná data V. PAF'!F66</f>
        <v>4212.085258</v>
      </c>
      <c r="F65" s="260">
        <f>F122*'Pomocná data V. PAF'!G66</f>
        <v>0</v>
      </c>
      <c r="G65" s="260">
        <f>G122*'Pomocná data V. PAF'!H66</f>
        <v>15.41310849</v>
      </c>
      <c r="H65" s="260">
        <f>H122*'Pomocná data V. PAF'!I66</f>
        <v>335.1775056</v>
      </c>
      <c r="I65" s="260">
        <f>I122*'Pomocná data V. PAF'!J66</f>
        <v>0</v>
      </c>
      <c r="J65" s="260">
        <f>J122*'Pomocná data V. PAF'!K66</f>
        <v>51.77002175</v>
      </c>
      <c r="K65" s="260">
        <f>K122*'Pomocná data V. PAF'!L66</f>
        <v>18069.0911</v>
      </c>
      <c r="L65" s="260">
        <f>L122*'Pomocná data V. PAF'!M66</f>
        <v>555.4574494</v>
      </c>
      <c r="M65" s="260">
        <f>M122*'Pomocná data V. PAF'!N66</f>
        <v>0</v>
      </c>
      <c r="N65" s="260">
        <f>N122*'Pomocná data V. PAF'!O66</f>
        <v>452.4528262</v>
      </c>
      <c r="O65" s="260">
        <f>O122*'Pomocná data V. PAF'!P66</f>
        <v>0</v>
      </c>
      <c r="P65" s="260">
        <f>P122*'Pomocná data V. PAF'!Q66</f>
        <v>465.4499051</v>
      </c>
      <c r="Q65" s="260">
        <f>Q122*'Pomocná data V. PAF'!R66</f>
        <v>1471.123571</v>
      </c>
      <c r="R65" s="260">
        <f>R122*'Pomocná data V. PAF'!S66</f>
        <v>0</v>
      </c>
      <c r="S65" s="260">
        <f>S122*'Pomocná data V. PAF'!T66</f>
        <v>36.5991702</v>
      </c>
      <c r="T65" s="260">
        <f>T122*'Pomocná data V. PAF'!U66</f>
        <v>236.9415949</v>
      </c>
      <c r="U65" s="260">
        <f>U122*'Pomocná data V. PAF'!V66</f>
        <v>1262.952984</v>
      </c>
      <c r="V65" s="261">
        <f t="shared" si="20"/>
        <v>43517.51116</v>
      </c>
      <c r="W65" s="198"/>
      <c r="X65" s="198"/>
      <c r="Y65" s="36"/>
      <c r="Z65" s="36"/>
      <c r="AA65" s="36"/>
      <c r="AB65" s="36"/>
      <c r="AC65" s="36"/>
      <c r="AD65" s="36"/>
      <c r="AE65" s="39"/>
      <c r="AF65" s="39"/>
      <c r="AG65" s="39"/>
    </row>
    <row r="66" ht="15.75" customHeight="1">
      <c r="A66" s="262" t="s">
        <v>68</v>
      </c>
      <c r="B66" s="263">
        <f t="shared" ref="B66:V66" si="21">SUM(B57:B65)</f>
        <v>3754.596711</v>
      </c>
      <c r="C66" s="263">
        <f t="shared" si="21"/>
        <v>1214012.972</v>
      </c>
      <c r="D66" s="263">
        <f t="shared" si="21"/>
        <v>76530.8696</v>
      </c>
      <c r="E66" s="263">
        <f t="shared" si="21"/>
        <v>101471.9827</v>
      </c>
      <c r="F66" s="263">
        <f t="shared" si="21"/>
        <v>0</v>
      </c>
      <c r="G66" s="263">
        <f t="shared" si="21"/>
        <v>486.2723011</v>
      </c>
      <c r="H66" s="263">
        <f t="shared" si="21"/>
        <v>8278.452326</v>
      </c>
      <c r="I66" s="263">
        <f t="shared" si="21"/>
        <v>45039</v>
      </c>
      <c r="J66" s="263">
        <f t="shared" si="21"/>
        <v>1628.828142</v>
      </c>
      <c r="K66" s="263">
        <f t="shared" si="21"/>
        <v>522118.6586</v>
      </c>
      <c r="L66" s="263">
        <f t="shared" si="21"/>
        <v>22013.17537</v>
      </c>
      <c r="M66" s="263">
        <f t="shared" si="21"/>
        <v>0</v>
      </c>
      <c r="N66" s="263">
        <f t="shared" si="21"/>
        <v>12774.23892</v>
      </c>
      <c r="O66" s="263">
        <f t="shared" si="21"/>
        <v>0</v>
      </c>
      <c r="P66" s="263">
        <f t="shared" si="21"/>
        <v>6835.295439</v>
      </c>
      <c r="Q66" s="263">
        <f t="shared" si="21"/>
        <v>22413.44754</v>
      </c>
      <c r="R66" s="263">
        <f t="shared" si="21"/>
        <v>0</v>
      </c>
      <c r="S66" s="263">
        <f t="shared" si="21"/>
        <v>447.4144002</v>
      </c>
      <c r="T66" s="263">
        <f t="shared" si="21"/>
        <v>4717.635825</v>
      </c>
      <c r="U66" s="263">
        <f t="shared" si="21"/>
        <v>59820.47266</v>
      </c>
      <c r="V66" s="264">
        <f t="shared" si="21"/>
        <v>2102343.312</v>
      </c>
      <c r="W66" s="198"/>
      <c r="X66" s="198"/>
      <c r="Y66" s="36"/>
      <c r="Z66" s="36"/>
      <c r="AA66" s="36"/>
      <c r="AB66" s="36"/>
      <c r="AC66" s="36"/>
      <c r="AD66" s="36"/>
      <c r="AE66" s="39"/>
      <c r="AF66" s="39"/>
      <c r="AG66" s="39"/>
    </row>
    <row r="67" ht="15.75" customHeight="1">
      <c r="A67" s="163"/>
      <c r="B67" s="163"/>
      <c r="C67" s="163"/>
      <c r="D67" s="163"/>
      <c r="E67" s="163"/>
      <c r="F67" s="163"/>
      <c r="G67" s="163"/>
      <c r="H67" s="163"/>
      <c r="I67" s="163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257"/>
      <c r="W67" s="198"/>
      <c r="X67" s="198"/>
      <c r="Y67" s="36"/>
      <c r="Z67" s="36"/>
      <c r="AA67" s="36"/>
      <c r="AB67" s="36"/>
      <c r="AC67" s="36"/>
      <c r="AD67" s="36"/>
      <c r="AE67" s="39"/>
      <c r="AF67" s="39"/>
      <c r="AG67" s="39"/>
    </row>
    <row r="68" ht="15.75" customHeight="1">
      <c r="A68" s="258" t="s">
        <v>413</v>
      </c>
      <c r="B68" s="194"/>
      <c r="C68" s="195"/>
      <c r="D68" s="163"/>
      <c r="E68" s="163"/>
      <c r="F68" s="163"/>
      <c r="G68" s="163"/>
      <c r="H68" s="163"/>
      <c r="I68" s="163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257"/>
      <c r="W68" s="198"/>
      <c r="X68" s="198"/>
      <c r="Y68" s="36"/>
      <c r="Z68" s="36"/>
      <c r="AA68" s="36"/>
      <c r="AB68" s="36"/>
      <c r="AC68" s="36"/>
      <c r="AD68" s="36"/>
      <c r="AE68" s="39"/>
      <c r="AF68" s="39"/>
      <c r="AG68" s="39"/>
    </row>
    <row r="69" ht="15.75" customHeight="1">
      <c r="A69" s="241" t="s">
        <v>404</v>
      </c>
      <c r="B69" s="223" t="s">
        <v>288</v>
      </c>
      <c r="C69" s="223" t="s">
        <v>405</v>
      </c>
      <c r="D69" s="223" t="s">
        <v>292</v>
      </c>
      <c r="E69" s="223" t="s">
        <v>294</v>
      </c>
      <c r="F69" s="223" t="s">
        <v>296</v>
      </c>
      <c r="G69" s="223" t="s">
        <v>298</v>
      </c>
      <c r="H69" s="223" t="s">
        <v>300</v>
      </c>
      <c r="I69" s="223" t="s">
        <v>89</v>
      </c>
      <c r="J69" s="223" t="s">
        <v>303</v>
      </c>
      <c r="K69" s="223" t="s">
        <v>305</v>
      </c>
      <c r="L69" s="223" t="s">
        <v>307</v>
      </c>
      <c r="M69" s="223" t="s">
        <v>406</v>
      </c>
      <c r="N69" s="223" t="s">
        <v>311</v>
      </c>
      <c r="O69" s="223" t="s">
        <v>313</v>
      </c>
      <c r="P69" s="223" t="s">
        <v>315</v>
      </c>
      <c r="Q69" s="223" t="s">
        <v>407</v>
      </c>
      <c r="R69" s="223" t="s">
        <v>319</v>
      </c>
      <c r="S69" s="223" t="s">
        <v>321</v>
      </c>
      <c r="T69" s="223" t="s">
        <v>323</v>
      </c>
      <c r="U69" s="223" t="s">
        <v>408</v>
      </c>
      <c r="V69" s="265" t="s">
        <v>68</v>
      </c>
      <c r="W69" s="198"/>
      <c r="X69" s="198"/>
      <c r="Y69" s="36"/>
      <c r="Z69" s="36"/>
      <c r="AA69" s="36"/>
      <c r="AB69" s="36"/>
      <c r="AC69" s="266"/>
      <c r="AD69" s="266"/>
      <c r="AE69" s="39"/>
      <c r="AF69" s="39"/>
      <c r="AG69" s="39"/>
    </row>
    <row r="70" ht="15.75" customHeight="1">
      <c r="A70" s="243" t="s">
        <v>391</v>
      </c>
      <c r="B70" s="260">
        <f>B128*'Pomocná data V. PAF'!C79</f>
        <v>214.6383166</v>
      </c>
      <c r="C70" s="260">
        <f>C128*'Pomocná data V. PAF'!D79</f>
        <v>21784.62015</v>
      </c>
      <c r="D70" s="260">
        <f>D128*'Pomocná data V. PAF'!E79</f>
        <v>472.9465866</v>
      </c>
      <c r="E70" s="260">
        <f>E128*'Pomocná data V. PAF'!F79</f>
        <v>152.0375443</v>
      </c>
      <c r="F70" s="260">
        <f>F128*'Pomocná data V. PAF'!G79</f>
        <v>11.13703685</v>
      </c>
      <c r="G70" s="260">
        <f>G128*'Pomocná data V. PAF'!H79</f>
        <v>0</v>
      </c>
      <c r="H70" s="260">
        <f>H128*'Pomocná data V. PAF'!I79</f>
        <v>9.22919392</v>
      </c>
      <c r="I70" s="260">
        <f>I128*'Pomocná data V. PAF'!J79</f>
        <v>3312</v>
      </c>
      <c r="J70" s="260">
        <f>J128*'Pomocná data V. PAF'!K79</f>
        <v>126.4459607</v>
      </c>
      <c r="K70" s="260">
        <f>K128*'Pomocná data V. PAF'!L79</f>
        <v>668.4881632</v>
      </c>
      <c r="L70" s="260">
        <f>L128*'Pomocná data V. PAF'!M79</f>
        <v>130.8332611</v>
      </c>
      <c r="M70" s="260">
        <f>M128*'Pomocná data V. PAF'!N79</f>
        <v>0</v>
      </c>
      <c r="N70" s="260">
        <f>N128*'Pomocná data V. PAF'!O79</f>
        <v>9.455187233</v>
      </c>
      <c r="O70" s="260">
        <f>O128*'Pomocná data V. PAF'!P79</f>
        <v>27.84136913</v>
      </c>
      <c r="P70" s="260">
        <f>P128*'Pomocná data V. PAF'!Q79</f>
        <v>0.1677929369</v>
      </c>
      <c r="Q70" s="260">
        <f>Q128*'Pomocná data V. PAF'!R79</f>
        <v>19.3318721</v>
      </c>
      <c r="R70" s="260">
        <f>R128*'Pomocná data V. PAF'!S79</f>
        <v>84.52685946</v>
      </c>
      <c r="S70" s="260">
        <f>S128*'Pomocná data V. PAF'!T79</f>
        <v>0</v>
      </c>
      <c r="T70" s="260">
        <f>T128*'Pomocná data V. PAF'!U79</f>
        <v>0.03483210373</v>
      </c>
      <c r="U70" s="260">
        <f>U128*'Pomocná data V. PAF'!V79</f>
        <v>264.7012122</v>
      </c>
      <c r="V70" s="261">
        <f t="shared" ref="V70:V78" si="22">SUM(B70:U70)</f>
        <v>27288.43534</v>
      </c>
      <c r="W70" s="198"/>
      <c r="X70" s="198"/>
      <c r="Y70" s="36"/>
      <c r="Z70" s="36"/>
      <c r="AA70" s="36"/>
      <c r="AB70" s="36"/>
      <c r="AC70" s="266"/>
      <c r="AD70" s="266"/>
      <c r="AE70" s="39"/>
      <c r="AF70" s="39"/>
      <c r="AG70" s="39"/>
    </row>
    <row r="71" ht="15.75" customHeight="1">
      <c r="A71" s="243" t="s">
        <v>392</v>
      </c>
      <c r="B71" s="260">
        <f>B129*'Pomocná data V. PAF'!C80</f>
        <v>378.9929927</v>
      </c>
      <c r="C71" s="260">
        <f>C129*'Pomocná data V. PAF'!D80</f>
        <v>38153.66685</v>
      </c>
      <c r="D71" s="260">
        <f>D129*'Pomocná data V. PAF'!E80</f>
        <v>1164.608276</v>
      </c>
      <c r="E71" s="260">
        <f>E129*'Pomocná data V. PAF'!F80</f>
        <v>288.9829105</v>
      </c>
      <c r="F71" s="260">
        <f>F129*'Pomocná data V. PAF'!G80</f>
        <v>19.19202116</v>
      </c>
      <c r="G71" s="260">
        <f>G129*'Pomocná data V. PAF'!H80</f>
        <v>0</v>
      </c>
      <c r="H71" s="260">
        <f>H129*'Pomocná data V. PAF'!I80</f>
        <v>16.96641004</v>
      </c>
      <c r="I71" s="260">
        <f>I129*'Pomocná data V. PAF'!J80</f>
        <v>10655</v>
      </c>
      <c r="J71" s="260">
        <f>J129*'Pomocná data V. PAF'!K80</f>
        <v>346.0604232</v>
      </c>
      <c r="K71" s="260">
        <f>K129*'Pomocná data V. PAF'!L80</f>
        <v>1319.20283</v>
      </c>
      <c r="L71" s="260">
        <f>L129*'Pomocná data V. PAF'!M80</f>
        <v>213.0237032</v>
      </c>
      <c r="M71" s="260">
        <f>M129*'Pomocná data V. PAF'!N80</f>
        <v>0</v>
      </c>
      <c r="N71" s="260">
        <f>N129*'Pomocná data V. PAF'!O80</f>
        <v>44.68380954</v>
      </c>
      <c r="O71" s="260">
        <f>O129*'Pomocná data V. PAF'!P80</f>
        <v>101.8091368</v>
      </c>
      <c r="P71" s="260">
        <f>P129*'Pomocná data V. PAF'!Q80</f>
        <v>15.46907001</v>
      </c>
      <c r="Q71" s="260">
        <f>Q129*'Pomocná data V. PAF'!R80</f>
        <v>130.7140802</v>
      </c>
      <c r="R71" s="260">
        <f>R129*'Pomocná data V. PAF'!S80</f>
        <v>167.8626948</v>
      </c>
      <c r="S71" s="260">
        <f>S129*'Pomocná data V. PAF'!T80</f>
        <v>8.025710551</v>
      </c>
      <c r="T71" s="260">
        <f>T129*'Pomocná data V. PAF'!U80</f>
        <v>5.717769207</v>
      </c>
      <c r="U71" s="260">
        <f>U129*'Pomocná data V. PAF'!V80</f>
        <v>634.7600067</v>
      </c>
      <c r="V71" s="261">
        <f t="shared" si="22"/>
        <v>53664.73869</v>
      </c>
      <c r="W71" s="198"/>
      <c r="X71" s="198"/>
      <c r="Y71" s="36"/>
      <c r="Z71" s="36"/>
      <c r="AA71" s="36"/>
      <c r="AB71" s="36"/>
      <c r="AC71" s="266"/>
      <c r="AD71" s="266"/>
      <c r="AE71" s="39"/>
      <c r="AF71" s="39"/>
      <c r="AG71" s="39"/>
    </row>
    <row r="72" ht="15.75" customHeight="1">
      <c r="A72" s="243" t="s">
        <v>393</v>
      </c>
      <c r="B72" s="260">
        <f>B130*'Pomocná data V. PAF'!C81</f>
        <v>1065.512959</v>
      </c>
      <c r="C72" s="260">
        <f>C130*'Pomocná data V. PAF'!D81</f>
        <v>92466.4526</v>
      </c>
      <c r="D72" s="260">
        <f>D130*'Pomocná data V. PAF'!E81</f>
        <v>1889.313184</v>
      </c>
      <c r="E72" s="260">
        <f>E130*'Pomocná data V. PAF'!F81</f>
        <v>1104.663325</v>
      </c>
      <c r="F72" s="260">
        <f>F130*'Pomocná data V. PAF'!G81</f>
        <v>27.81682194</v>
      </c>
      <c r="G72" s="260">
        <f>G130*'Pomocná data V. PAF'!H81</f>
        <v>0</v>
      </c>
      <c r="H72" s="260">
        <f>H130*'Pomocná data V. PAF'!I81</f>
        <v>49.15965669</v>
      </c>
      <c r="I72" s="260">
        <f>I130*'Pomocná data V. PAF'!J81</f>
        <v>13493</v>
      </c>
      <c r="J72" s="260">
        <f>J130*'Pomocná data V. PAF'!K81</f>
        <v>945.8149443</v>
      </c>
      <c r="K72" s="260">
        <f>K130*'Pomocná data V. PAF'!L81</f>
        <v>4968.604462</v>
      </c>
      <c r="L72" s="260">
        <f>L130*'Pomocná data V. PAF'!M81</f>
        <v>984.0869516</v>
      </c>
      <c r="M72" s="260">
        <f>M130*'Pomocná data V. PAF'!N81</f>
        <v>82.03180084</v>
      </c>
      <c r="N72" s="260">
        <f>N130*'Pomocná data V. PAF'!O81</f>
        <v>227.9199026</v>
      </c>
      <c r="O72" s="260">
        <f>O130*'Pomocná data V. PAF'!P81</f>
        <v>483.2612821</v>
      </c>
      <c r="P72" s="260">
        <f>P130*'Pomocná data V. PAF'!Q81</f>
        <v>32.08624329</v>
      </c>
      <c r="Q72" s="260">
        <f>Q130*'Pomocná data V. PAF'!R81</f>
        <v>394.460146</v>
      </c>
      <c r="R72" s="260">
        <f>R130*'Pomocná data V. PAF'!S81</f>
        <v>357.2233259</v>
      </c>
      <c r="S72" s="260">
        <f>S130*'Pomocná data V. PAF'!T81</f>
        <v>2.000501002</v>
      </c>
      <c r="T72" s="260">
        <f>T130*'Pomocná data V. PAF'!U81</f>
        <v>9.799792923</v>
      </c>
      <c r="U72" s="260">
        <f>U130*'Pomocná data V. PAF'!V81</f>
        <v>1699.498607</v>
      </c>
      <c r="V72" s="261">
        <f t="shared" si="22"/>
        <v>120282.7065</v>
      </c>
      <c r="W72" s="198"/>
      <c r="X72" s="198"/>
      <c r="Y72" s="36"/>
      <c r="Z72" s="36"/>
      <c r="AA72" s="36"/>
      <c r="AB72" s="36"/>
      <c r="AC72" s="266"/>
      <c r="AD72" s="266"/>
      <c r="AE72" s="39"/>
      <c r="AF72" s="39"/>
      <c r="AG72" s="39"/>
    </row>
    <row r="73" ht="15.75" customHeight="1">
      <c r="A73" s="243" t="s">
        <v>394</v>
      </c>
      <c r="B73" s="260">
        <f>B131*'Pomocná data V. PAF'!C82</f>
        <v>1655.948823</v>
      </c>
      <c r="C73" s="260">
        <f>C131*'Pomocná data V. PAF'!D82</f>
        <v>167692.5022</v>
      </c>
      <c r="D73" s="260">
        <f>D131*'Pomocná data V. PAF'!E82</f>
        <v>2375.857833</v>
      </c>
      <c r="E73" s="260">
        <f>E131*'Pomocná data V. PAF'!F82</f>
        <v>3125.928444</v>
      </c>
      <c r="F73" s="260">
        <f>F131*'Pomocná data V. PAF'!G82</f>
        <v>72.44397851</v>
      </c>
      <c r="G73" s="260">
        <f>G131*'Pomocná data V. PAF'!H82</f>
        <v>0</v>
      </c>
      <c r="H73" s="260">
        <f>H131*'Pomocná data V. PAF'!I82</f>
        <v>229.7432834</v>
      </c>
      <c r="I73" s="260">
        <f>I131*'Pomocná data V. PAF'!J82</f>
        <v>18893</v>
      </c>
      <c r="J73" s="260">
        <f>J131*'Pomocná data V. PAF'!K82</f>
        <v>1595.622399</v>
      </c>
      <c r="K73" s="260">
        <f>K131*'Pomocná data V. PAF'!L82</f>
        <v>14407.09898</v>
      </c>
      <c r="L73" s="260">
        <f>L131*'Pomocná data V. PAF'!M82</f>
        <v>1658.337127</v>
      </c>
      <c r="M73" s="260">
        <f>M131*'Pomocná data V. PAF'!N82</f>
        <v>52.38397572</v>
      </c>
      <c r="N73" s="260">
        <f>N131*'Pomocná data V. PAF'!O82</f>
        <v>285.9089363</v>
      </c>
      <c r="O73" s="260">
        <f>O131*'Pomocná data V. PAF'!P82</f>
        <v>1036.661281</v>
      </c>
      <c r="P73" s="260">
        <f>P131*'Pomocná data V. PAF'!Q82</f>
        <v>31.24320633</v>
      </c>
      <c r="Q73" s="260">
        <f>Q131*'Pomocná data V. PAF'!R82</f>
        <v>1018.863617</v>
      </c>
      <c r="R73" s="260">
        <f>R131*'Pomocná data V. PAF'!S82</f>
        <v>693.2414564</v>
      </c>
      <c r="S73" s="260">
        <f>S131*'Pomocná data V. PAF'!T82</f>
        <v>38.00697906</v>
      </c>
      <c r="T73" s="260">
        <f>T131*'Pomocná data V. PAF'!U82</f>
        <v>18.1843492</v>
      </c>
      <c r="U73" s="260">
        <f>U131*'Pomocná data V. PAF'!V82</f>
        <v>4705.481935</v>
      </c>
      <c r="V73" s="261">
        <f t="shared" si="22"/>
        <v>219586.4588</v>
      </c>
      <c r="W73" s="198"/>
      <c r="X73" s="198"/>
      <c r="Y73" s="36"/>
      <c r="Z73" s="36"/>
      <c r="AA73" s="36"/>
      <c r="AB73" s="36"/>
      <c r="AC73" s="266"/>
      <c r="AD73" s="266"/>
      <c r="AE73" s="39"/>
      <c r="AF73" s="39"/>
      <c r="AG73" s="39"/>
    </row>
    <row r="74" ht="15.75" customHeight="1">
      <c r="A74" s="243" t="s">
        <v>395</v>
      </c>
      <c r="B74" s="260">
        <f>B132*'Pomocná data V. PAF'!C83</f>
        <v>2188.863777</v>
      </c>
      <c r="C74" s="260">
        <f>C132*'Pomocná data V. PAF'!D83</f>
        <v>196314.1886</v>
      </c>
      <c r="D74" s="260">
        <f>D132*'Pomocná data V. PAF'!E83</f>
        <v>4555.748795</v>
      </c>
      <c r="E74" s="260">
        <f>E132*'Pomocná data V. PAF'!F83</f>
        <v>5574.056559</v>
      </c>
      <c r="F74" s="260">
        <f>F132*'Pomocná data V. PAF'!G83</f>
        <v>77.24217472</v>
      </c>
      <c r="G74" s="260">
        <f>G132*'Pomocná data V. PAF'!H83</f>
        <v>0</v>
      </c>
      <c r="H74" s="260">
        <f>H132*'Pomocná data V. PAF'!I83</f>
        <v>263.7795494</v>
      </c>
      <c r="I74" s="260">
        <f>I132*'Pomocná data V. PAF'!J83</f>
        <v>18223</v>
      </c>
      <c r="J74" s="260">
        <f>J132*'Pomocná data V. PAF'!K83</f>
        <v>1597.950765</v>
      </c>
      <c r="K74" s="260">
        <f>K132*'Pomocná data V. PAF'!L83</f>
        <v>26609.01804</v>
      </c>
      <c r="L74" s="260">
        <f>L132*'Pomocná data V. PAF'!M83</f>
        <v>2577.515339</v>
      </c>
      <c r="M74" s="260">
        <f>M132*'Pomocná data V. PAF'!N83</f>
        <v>262.1857959</v>
      </c>
      <c r="N74" s="260">
        <f>N132*'Pomocná data V. PAF'!O83</f>
        <v>1134.200923</v>
      </c>
      <c r="O74" s="260">
        <f>O132*'Pomocná data V. PAF'!P83</f>
        <v>1763.918196</v>
      </c>
      <c r="P74" s="260">
        <f>P132*'Pomocná data V. PAF'!Q83</f>
        <v>52.93731829</v>
      </c>
      <c r="Q74" s="260">
        <f>Q132*'Pomocná data V. PAF'!R83</f>
        <v>1305.611328</v>
      </c>
      <c r="R74" s="260">
        <f>R132*'Pomocná data V. PAF'!S83</f>
        <v>1053.407653</v>
      </c>
      <c r="S74" s="260">
        <f>S132*'Pomocná data V. PAF'!T83</f>
        <v>34.71460496</v>
      </c>
      <c r="T74" s="260">
        <f>T132*'Pomocná data V. PAF'!U83</f>
        <v>23.40826525</v>
      </c>
      <c r="U74" s="260">
        <f>U132*'Pomocná data V. PAF'!V83</f>
        <v>6837.849604</v>
      </c>
      <c r="V74" s="261">
        <f t="shared" si="22"/>
        <v>270449.5973</v>
      </c>
      <c r="W74" s="198"/>
      <c r="X74" s="198"/>
      <c r="Y74" s="36"/>
      <c r="Z74" s="36"/>
      <c r="AA74" s="36"/>
      <c r="AB74" s="36"/>
      <c r="AC74" s="266"/>
      <c r="AD74" s="266"/>
      <c r="AE74" s="39"/>
      <c r="AF74" s="39"/>
      <c r="AG74" s="39"/>
    </row>
    <row r="75" ht="15.75" customHeight="1">
      <c r="A75" s="243" t="s">
        <v>396</v>
      </c>
      <c r="B75" s="260">
        <f>B133*'Pomocná data V. PAF'!C84</f>
        <v>2627.551782</v>
      </c>
      <c r="C75" s="260">
        <f>C133*'Pomocná data V. PAF'!D84</f>
        <v>244620.0325</v>
      </c>
      <c r="D75" s="260">
        <f>D133*'Pomocná data V. PAF'!E84</f>
        <v>10045.72501</v>
      </c>
      <c r="E75" s="260">
        <f>E133*'Pomocná data V. PAF'!F84</f>
        <v>9815.435375</v>
      </c>
      <c r="F75" s="260">
        <f>F133*'Pomocná data V. PAF'!G84</f>
        <v>113.2674578</v>
      </c>
      <c r="G75" s="260">
        <f>G133*'Pomocná data V. PAF'!H84</f>
        <v>0</v>
      </c>
      <c r="H75" s="260">
        <f>H133*'Pomocná data V. PAF'!I84</f>
        <v>663.4636902</v>
      </c>
      <c r="I75" s="260">
        <f>I133*'Pomocná data V. PAF'!J84</f>
        <v>11336</v>
      </c>
      <c r="J75" s="260">
        <f>J133*'Pomocná data V. PAF'!K84</f>
        <v>1873.692803</v>
      </c>
      <c r="K75" s="260">
        <f>K133*'Pomocná data V. PAF'!L84</f>
        <v>54011.67408</v>
      </c>
      <c r="L75" s="260">
        <f>L133*'Pomocná data V. PAF'!M84</f>
        <v>2208.878676</v>
      </c>
      <c r="M75" s="260">
        <f>M133*'Pomocná data V. PAF'!N84</f>
        <v>234.0973483</v>
      </c>
      <c r="N75" s="260">
        <f>N133*'Pomocná data V. PAF'!O84</f>
        <v>1616.692317</v>
      </c>
      <c r="O75" s="260">
        <f>O133*'Pomocná data V. PAF'!P84</f>
        <v>1975.596526</v>
      </c>
      <c r="P75" s="260">
        <f>P133*'Pomocná data V. PAF'!Q84</f>
        <v>242.8853014</v>
      </c>
      <c r="Q75" s="260">
        <f>Q133*'Pomocná data V. PAF'!R84</f>
        <v>2413.325581</v>
      </c>
      <c r="R75" s="260">
        <f>R133*'Pomocná data V. PAF'!S84</f>
        <v>1113.819709</v>
      </c>
      <c r="S75" s="260">
        <f>S133*'Pomocná data V. PAF'!T84</f>
        <v>62.94161875</v>
      </c>
      <c r="T75" s="260">
        <f>T133*'Pomocná data V. PAF'!U84</f>
        <v>64.49966868</v>
      </c>
      <c r="U75" s="260">
        <f>U133*'Pomocná data V. PAF'!V84</f>
        <v>9703.926774</v>
      </c>
      <c r="V75" s="261">
        <f t="shared" si="22"/>
        <v>354743.5062</v>
      </c>
      <c r="W75" s="198"/>
      <c r="X75" s="198"/>
      <c r="Y75" s="36"/>
      <c r="Z75" s="36"/>
      <c r="AA75" s="36"/>
      <c r="AB75" s="36"/>
      <c r="AC75" s="266"/>
      <c r="AD75" s="266"/>
      <c r="AE75" s="39"/>
      <c r="AF75" s="39"/>
      <c r="AG75" s="39"/>
    </row>
    <row r="76" ht="15.75" customHeight="1">
      <c r="A76" s="243" t="s">
        <v>397</v>
      </c>
      <c r="B76" s="260">
        <f>B134*'Pomocná data V. PAF'!C85</f>
        <v>3439.447933</v>
      </c>
      <c r="C76" s="260">
        <f>C134*'Pomocná data V. PAF'!D85</f>
        <v>289565.1342</v>
      </c>
      <c r="D76" s="260">
        <f>D134*'Pomocná data V. PAF'!E85</f>
        <v>9126.785676</v>
      </c>
      <c r="E76" s="260">
        <f>E134*'Pomocná data V. PAF'!F85</f>
        <v>16877.45394</v>
      </c>
      <c r="F76" s="260">
        <f>F134*'Pomocná data V. PAF'!G85</f>
        <v>122.810431</v>
      </c>
      <c r="G76" s="260">
        <f>G134*'Pomocná data V. PAF'!H85</f>
        <v>0</v>
      </c>
      <c r="H76" s="260">
        <f>H134*'Pomocná data V. PAF'!I85</f>
        <v>692.4369807</v>
      </c>
      <c r="I76" s="260">
        <f>I134*'Pomocná data V. PAF'!J85</f>
        <v>10903</v>
      </c>
      <c r="J76" s="260">
        <f>J134*'Pomocná data V. PAF'!K85</f>
        <v>2183.78954</v>
      </c>
      <c r="K76" s="260">
        <f>K134*'Pomocná data V. PAF'!L85</f>
        <v>91817.40156</v>
      </c>
      <c r="L76" s="260">
        <f>L134*'Pomocná data V. PAF'!M85</f>
        <v>2133.847341</v>
      </c>
      <c r="M76" s="260">
        <f>M134*'Pomocná data V. PAF'!N85</f>
        <v>881.1532727</v>
      </c>
      <c r="N76" s="260">
        <f>N134*'Pomocná data V. PAF'!O85</f>
        <v>2368.251968</v>
      </c>
      <c r="O76" s="260">
        <f>O134*'Pomocná data V. PAF'!P85</f>
        <v>2045.937168</v>
      </c>
      <c r="P76" s="260">
        <f>P134*'Pomocná data V. PAF'!Q85</f>
        <v>413.6617127</v>
      </c>
      <c r="Q76" s="260">
        <f>Q134*'Pomocná data V. PAF'!R85</f>
        <v>2369.350848</v>
      </c>
      <c r="R76" s="260">
        <f>R134*'Pomocná data V. PAF'!S85</f>
        <v>1241.980407</v>
      </c>
      <c r="S76" s="260">
        <f>S134*'Pomocná data V. PAF'!T85</f>
        <v>177.6405476</v>
      </c>
      <c r="T76" s="260">
        <f>T134*'Pomocná data V. PAF'!U85</f>
        <v>103.9420103</v>
      </c>
      <c r="U76" s="260">
        <f>U134*'Pomocná data V. PAF'!V85</f>
        <v>12182.27678</v>
      </c>
      <c r="V76" s="261">
        <f t="shared" si="22"/>
        <v>448646.3023</v>
      </c>
      <c r="W76" s="198"/>
      <c r="X76" s="198"/>
      <c r="Y76" s="36"/>
      <c r="Z76" s="36"/>
      <c r="AA76" s="36"/>
      <c r="AB76" s="36"/>
      <c r="AC76" s="36"/>
      <c r="AD76" s="36"/>
      <c r="AE76" s="39"/>
      <c r="AF76" s="39"/>
      <c r="AG76" s="39"/>
    </row>
    <row r="77" ht="15.75" customHeight="1">
      <c r="A77" s="243" t="s">
        <v>398</v>
      </c>
      <c r="B77" s="260">
        <f>B135*'Pomocná data V. PAF'!C86</f>
        <v>1058.913582</v>
      </c>
      <c r="C77" s="260">
        <f>C135*'Pomocná data V. PAF'!D86</f>
        <v>90647.58193</v>
      </c>
      <c r="D77" s="260">
        <f>D135*'Pomocná data V. PAF'!E86</f>
        <v>3106.112126</v>
      </c>
      <c r="E77" s="260">
        <f>E135*'Pomocná data V. PAF'!F86</f>
        <v>6967.605157</v>
      </c>
      <c r="F77" s="260">
        <f>F135*'Pomocná data V. PAF'!G86</f>
        <v>102.2017489</v>
      </c>
      <c r="G77" s="260">
        <f>G135*'Pomocná data V. PAF'!H86</f>
        <v>0</v>
      </c>
      <c r="H77" s="260">
        <f>H135*'Pomocná data V. PAF'!I86</f>
        <v>243.6849958</v>
      </c>
      <c r="I77" s="260">
        <f>I135*'Pomocná data V. PAF'!J86</f>
        <v>2024</v>
      </c>
      <c r="J77" s="260">
        <f>J135*'Pomocná data V. PAF'!K86</f>
        <v>594.8688282</v>
      </c>
      <c r="K77" s="260">
        <f>K135*'Pomocná data V. PAF'!L86</f>
        <v>36219.69889</v>
      </c>
      <c r="L77" s="260">
        <f>L135*'Pomocná data V. PAF'!M86</f>
        <v>1371.072332</v>
      </c>
      <c r="M77" s="260">
        <f>M135*'Pomocná data V. PAF'!N86</f>
        <v>209.2692724</v>
      </c>
      <c r="N77" s="260">
        <f>N135*'Pomocná data V. PAF'!O86</f>
        <v>1745.911324</v>
      </c>
      <c r="O77" s="260">
        <f>O135*'Pomocná data V. PAF'!P86</f>
        <v>954.757534</v>
      </c>
      <c r="P77" s="260">
        <f>P135*'Pomocná data V. PAF'!Q86</f>
        <v>201.755863</v>
      </c>
      <c r="Q77" s="260">
        <f>Q135*'Pomocná data V. PAF'!R86</f>
        <v>1752.129637</v>
      </c>
      <c r="R77" s="260">
        <f>R135*'Pomocná data V. PAF'!S86</f>
        <v>691.6654107</v>
      </c>
      <c r="S77" s="260">
        <f>S135*'Pomocná data V. PAF'!T86</f>
        <v>106.2254588</v>
      </c>
      <c r="T77" s="260">
        <f>T135*'Pomocná data V. PAF'!U86</f>
        <v>85.77062532</v>
      </c>
      <c r="U77" s="260">
        <f>U135*'Pomocná data V. PAF'!V86</f>
        <v>4848.398842</v>
      </c>
      <c r="V77" s="261">
        <f t="shared" si="22"/>
        <v>152931.6236</v>
      </c>
      <c r="W77" s="198"/>
      <c r="X77" s="198"/>
      <c r="Y77" s="36"/>
      <c r="Z77" s="36"/>
      <c r="AA77" s="36"/>
      <c r="AB77" s="36"/>
      <c r="AC77" s="36"/>
      <c r="AD77" s="36"/>
      <c r="AE77" s="39"/>
      <c r="AF77" s="39"/>
      <c r="AG77" s="39"/>
    </row>
    <row r="78" ht="15.75" customHeight="1">
      <c r="A78" s="243" t="s">
        <v>399</v>
      </c>
      <c r="B78" s="260">
        <f>B136*'Pomocná data V. PAF'!C87</f>
        <v>180.2048738</v>
      </c>
      <c r="C78" s="260">
        <f>C136*'Pomocná data V. PAF'!D87</f>
        <v>8733.983557</v>
      </c>
      <c r="D78" s="260">
        <f>D136*'Pomocná data V. PAF'!E87</f>
        <v>282.6564891</v>
      </c>
      <c r="E78" s="260">
        <f>E136*'Pomocná data V. PAF'!F87</f>
        <v>1811.847685</v>
      </c>
      <c r="F78" s="260">
        <f>F136*'Pomocná data V. PAF'!G87</f>
        <v>4.638784461</v>
      </c>
      <c r="G78" s="260">
        <f>G136*'Pomocná data V. PAF'!H87</f>
        <v>0</v>
      </c>
      <c r="H78" s="260">
        <f>H136*'Pomocná data V. PAF'!I87</f>
        <v>117.4105711</v>
      </c>
      <c r="I78" s="260">
        <f>I136*'Pomocná data V. PAF'!J87</f>
        <v>88</v>
      </c>
      <c r="J78" s="260">
        <f>J136*'Pomocná data V. PAF'!K87</f>
        <v>150.5071349</v>
      </c>
      <c r="K78" s="260">
        <f>K136*'Pomocná data V. PAF'!L87</f>
        <v>7707.203263</v>
      </c>
      <c r="L78" s="260">
        <f>L136*'Pomocná data V. PAF'!M87</f>
        <v>415.3599352</v>
      </c>
      <c r="M78" s="260">
        <f>M136*'Pomocná data V. PAF'!N87</f>
        <v>18.62145144</v>
      </c>
      <c r="N78" s="260">
        <f>N136*'Pomocná data V. PAF'!O87</f>
        <v>277.1128435</v>
      </c>
      <c r="O78" s="260">
        <f>O136*'Pomocná data V. PAF'!P87</f>
        <v>131.1570949</v>
      </c>
      <c r="P78" s="260">
        <f>P136*'Pomocná data V. PAF'!Q87</f>
        <v>45.27414974</v>
      </c>
      <c r="Q78" s="260">
        <f>Q136*'Pomocná data V. PAF'!R87</f>
        <v>357.769274</v>
      </c>
      <c r="R78" s="260">
        <f>R136*'Pomocná data V. PAF'!S87</f>
        <v>121.4851936</v>
      </c>
      <c r="S78" s="260">
        <f>S136*'Pomocná data V. PAF'!T87</f>
        <v>10.97907457</v>
      </c>
      <c r="T78" s="260">
        <f>T136*'Pomocná data V. PAF'!U87</f>
        <v>25.17268051</v>
      </c>
      <c r="U78" s="260">
        <f>U136*'Pomocná data V. PAF'!V87</f>
        <v>715.4256899</v>
      </c>
      <c r="V78" s="261">
        <f t="shared" si="22"/>
        <v>21194.80974</v>
      </c>
      <c r="W78" s="198"/>
      <c r="X78" s="198"/>
      <c r="Y78" s="36"/>
      <c r="Z78" s="36"/>
      <c r="AA78" s="36"/>
      <c r="AB78" s="36"/>
      <c r="AC78" s="36"/>
      <c r="AD78" s="36"/>
      <c r="AE78" s="39"/>
      <c r="AF78" s="39"/>
      <c r="AG78" s="39"/>
    </row>
    <row r="79" ht="15.75" customHeight="1">
      <c r="A79" s="267" t="s">
        <v>68</v>
      </c>
      <c r="B79" s="263">
        <f t="shared" ref="B79:V79" si="23">SUM(B70:B78)</f>
        <v>12810.07504</v>
      </c>
      <c r="C79" s="263">
        <f t="shared" si="23"/>
        <v>1149978.163</v>
      </c>
      <c r="D79" s="263">
        <f t="shared" si="23"/>
        <v>33019.75397</v>
      </c>
      <c r="E79" s="263">
        <f t="shared" si="23"/>
        <v>45718.01094</v>
      </c>
      <c r="F79" s="263">
        <f t="shared" si="23"/>
        <v>550.7504553</v>
      </c>
      <c r="G79" s="263">
        <f t="shared" si="23"/>
        <v>0</v>
      </c>
      <c r="H79" s="263">
        <f t="shared" si="23"/>
        <v>2285.874331</v>
      </c>
      <c r="I79" s="263">
        <f t="shared" si="23"/>
        <v>88927</v>
      </c>
      <c r="J79" s="263">
        <f t="shared" si="23"/>
        <v>9414.752797</v>
      </c>
      <c r="K79" s="263">
        <f t="shared" si="23"/>
        <v>237728.3903</v>
      </c>
      <c r="L79" s="263">
        <f t="shared" si="23"/>
        <v>11692.95467</v>
      </c>
      <c r="M79" s="263">
        <f t="shared" si="23"/>
        <v>1739.742917</v>
      </c>
      <c r="N79" s="263">
        <f t="shared" si="23"/>
        <v>7710.13721</v>
      </c>
      <c r="O79" s="263">
        <f t="shared" si="23"/>
        <v>8520.939587</v>
      </c>
      <c r="P79" s="263">
        <f t="shared" si="23"/>
        <v>1035.480658</v>
      </c>
      <c r="Q79" s="263">
        <f t="shared" si="23"/>
        <v>9761.556384</v>
      </c>
      <c r="R79" s="263">
        <f t="shared" si="23"/>
        <v>5525.21271</v>
      </c>
      <c r="S79" s="263">
        <f t="shared" si="23"/>
        <v>440.5344953</v>
      </c>
      <c r="T79" s="263">
        <f t="shared" si="23"/>
        <v>336.5299935</v>
      </c>
      <c r="U79" s="263">
        <f t="shared" si="23"/>
        <v>41592.31945</v>
      </c>
      <c r="V79" s="264">
        <f t="shared" si="23"/>
        <v>1668788.178</v>
      </c>
      <c r="W79" s="198"/>
      <c r="X79" s="198"/>
      <c r="Y79" s="36"/>
      <c r="Z79" s="36"/>
      <c r="AA79" s="36"/>
      <c r="AB79" s="36"/>
      <c r="AC79" s="36"/>
      <c r="AD79" s="36"/>
      <c r="AE79" s="39"/>
      <c r="AF79" s="39"/>
      <c r="AG79" s="39"/>
    </row>
    <row r="80" ht="15.75" customHeight="1">
      <c r="A80" s="198"/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257"/>
      <c r="W80" s="198"/>
      <c r="X80" s="198"/>
      <c r="Y80" s="36"/>
      <c r="Z80" s="36"/>
      <c r="AA80" s="36"/>
      <c r="AB80" s="36"/>
      <c r="AC80" s="36"/>
      <c r="AD80" s="36"/>
      <c r="AE80" s="39"/>
      <c r="AF80" s="39"/>
      <c r="AG80" s="39"/>
    </row>
    <row r="81" ht="15.75" customHeight="1">
      <c r="A81" s="218" t="s">
        <v>420</v>
      </c>
      <c r="B81" s="219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55"/>
      <c r="W81" s="221"/>
      <c r="X81" s="221"/>
      <c r="Y81" s="256"/>
      <c r="Z81" s="256"/>
      <c r="AA81" s="256"/>
      <c r="AB81" s="256"/>
      <c r="AC81" s="256"/>
      <c r="AD81" s="256"/>
      <c r="AE81" s="39"/>
      <c r="AF81" s="39"/>
      <c r="AG81" s="39"/>
    </row>
    <row r="82" ht="15.75" customHeight="1">
      <c r="A82" s="198"/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257"/>
      <c r="W82" s="198"/>
      <c r="X82" s="198"/>
      <c r="Y82" s="36"/>
      <c r="Z82" s="36"/>
      <c r="AA82" s="36"/>
      <c r="AB82" s="36"/>
      <c r="AC82" s="36"/>
      <c r="AD82" s="36"/>
      <c r="AE82" s="39"/>
      <c r="AF82" s="39"/>
      <c r="AG82" s="39"/>
    </row>
    <row r="83" ht="15.75" customHeight="1">
      <c r="A83" s="258" t="s">
        <v>402</v>
      </c>
      <c r="B83" s="194"/>
      <c r="C83" s="195"/>
      <c r="D83" s="163"/>
      <c r="E83" s="163"/>
      <c r="F83" s="163"/>
      <c r="G83" s="163"/>
      <c r="H83" s="163"/>
      <c r="I83" s="163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257"/>
      <c r="W83" s="198"/>
      <c r="X83" s="198"/>
      <c r="Y83" s="36"/>
      <c r="Z83" s="36"/>
      <c r="AA83" s="36"/>
      <c r="AB83" s="36"/>
      <c r="AC83" s="36"/>
      <c r="AD83" s="36"/>
      <c r="AE83" s="39"/>
      <c r="AF83" s="39"/>
      <c r="AG83" s="39"/>
    </row>
    <row r="84" ht="15.75" customHeight="1">
      <c r="A84" s="222" t="s">
        <v>404</v>
      </c>
      <c r="B84" s="223" t="s">
        <v>288</v>
      </c>
      <c r="C84" s="223" t="s">
        <v>405</v>
      </c>
      <c r="D84" s="223" t="s">
        <v>292</v>
      </c>
      <c r="E84" s="223" t="s">
        <v>294</v>
      </c>
      <c r="F84" s="223" t="s">
        <v>296</v>
      </c>
      <c r="G84" s="223" t="s">
        <v>298</v>
      </c>
      <c r="H84" s="223" t="s">
        <v>300</v>
      </c>
      <c r="I84" s="223" t="s">
        <v>89</v>
      </c>
      <c r="J84" s="223" t="s">
        <v>303</v>
      </c>
      <c r="K84" s="223" t="s">
        <v>305</v>
      </c>
      <c r="L84" s="223" t="s">
        <v>307</v>
      </c>
      <c r="M84" s="223" t="s">
        <v>406</v>
      </c>
      <c r="N84" s="223" t="s">
        <v>311</v>
      </c>
      <c r="O84" s="223" t="s">
        <v>313</v>
      </c>
      <c r="P84" s="223" t="s">
        <v>315</v>
      </c>
      <c r="Q84" s="223" t="s">
        <v>407</v>
      </c>
      <c r="R84" s="223" t="s">
        <v>319</v>
      </c>
      <c r="S84" s="223" t="s">
        <v>321</v>
      </c>
      <c r="T84" s="223" t="s">
        <v>323</v>
      </c>
      <c r="U84" s="223" t="s">
        <v>408</v>
      </c>
      <c r="V84" s="259" t="s">
        <v>68</v>
      </c>
      <c r="W84" s="198"/>
      <c r="X84" s="198"/>
      <c r="Y84" s="36"/>
      <c r="Z84" s="36"/>
      <c r="AA84" s="36"/>
      <c r="AB84" s="36"/>
      <c r="AC84" s="36"/>
      <c r="AD84" s="36"/>
      <c r="AE84" s="39"/>
      <c r="AF84" s="39"/>
      <c r="AG84" s="39"/>
    </row>
    <row r="85" ht="15.75" customHeight="1">
      <c r="A85" s="205" t="s">
        <v>391</v>
      </c>
      <c r="B85" s="260">
        <f>B114*'Pomocná data V. PAF'!C102</f>
        <v>579.9240531</v>
      </c>
      <c r="C85" s="260">
        <f>C114*'Pomocná data V. PAF'!D102</f>
        <v>62942.47414</v>
      </c>
      <c r="D85" s="260">
        <f>D114*'Pomocná data V. PAF'!E102</f>
        <v>962.1051194</v>
      </c>
      <c r="E85" s="260">
        <f>E114*'Pomocná data V. PAF'!F102</f>
        <v>332.74253</v>
      </c>
      <c r="F85" s="260">
        <f>F114*'Pomocná data V. PAF'!G102</f>
        <v>0</v>
      </c>
      <c r="G85" s="260">
        <f>G114*'Pomocná data V. PAF'!H102</f>
        <v>25.24918505</v>
      </c>
      <c r="H85" s="260">
        <f>H114*'Pomocná data V. PAF'!I102</f>
        <v>48.00986222</v>
      </c>
      <c r="I85" s="260">
        <f>I114*'Pomocná data V. PAF'!J102</f>
        <v>3028</v>
      </c>
      <c r="J85" s="260">
        <f>J114*'Pomocná data V. PAF'!K102</f>
        <v>426.4866734</v>
      </c>
      <c r="K85" s="260">
        <f>K114*'Pomocná data V. PAF'!L102</f>
        <v>6609.204602</v>
      </c>
      <c r="L85" s="260">
        <f>L114*'Pomocná data V. PAF'!M102</f>
        <v>428.4984174</v>
      </c>
      <c r="M85" s="260">
        <f>M114*'Pomocná data V. PAF'!N102</f>
        <v>0</v>
      </c>
      <c r="N85" s="260">
        <f>N114*'Pomocná data V. PAF'!O102</f>
        <v>34.52148895</v>
      </c>
      <c r="O85" s="260">
        <f>O114*'Pomocná data V. PAF'!P102</f>
        <v>0</v>
      </c>
      <c r="P85" s="260">
        <f>P114*'Pomocná data V. PAF'!Q102</f>
        <v>0</v>
      </c>
      <c r="Q85" s="260">
        <f>Q114*'Pomocná data V. PAF'!R102</f>
        <v>39.60362417</v>
      </c>
      <c r="R85" s="260">
        <f>R114*'Pomocná data V. PAF'!S102</f>
        <v>0</v>
      </c>
      <c r="S85" s="260">
        <f>S114*'Pomocná data V. PAF'!T102</f>
        <v>1.248286488</v>
      </c>
      <c r="T85" s="260">
        <f>T114*'Pomocná data V. PAF'!U102</f>
        <v>116.3897677</v>
      </c>
      <c r="U85" s="260">
        <f>U114*'Pomocná data V. PAF'!V102</f>
        <v>1081.415544</v>
      </c>
      <c r="V85" s="261">
        <f t="shared" ref="V85:V93" si="24">SUM(B85:U85)</f>
        <v>76655.87329</v>
      </c>
      <c r="W85" s="198"/>
      <c r="X85" s="198"/>
      <c r="Y85" s="36"/>
      <c r="Z85" s="36"/>
      <c r="AA85" s="36"/>
      <c r="AB85" s="36"/>
      <c r="AC85" s="36"/>
      <c r="AD85" s="36"/>
      <c r="AE85" s="39"/>
      <c r="AF85" s="39"/>
      <c r="AG85" s="39"/>
    </row>
    <row r="86" ht="15.75" customHeight="1">
      <c r="A86" s="205" t="s">
        <v>392</v>
      </c>
      <c r="B86" s="260">
        <f>B115*'Pomocná data V. PAF'!C103</f>
        <v>956.2990351</v>
      </c>
      <c r="C86" s="260">
        <f>C115*'Pomocná data V. PAF'!D103</f>
        <v>99725.55397</v>
      </c>
      <c r="D86" s="260">
        <f>D115*'Pomocná data V. PAF'!E103</f>
        <v>1258.473493</v>
      </c>
      <c r="E86" s="260">
        <f>E115*'Pomocná data V. PAF'!F103</f>
        <v>1307.340164</v>
      </c>
      <c r="F86" s="260">
        <f>F115*'Pomocná data V. PAF'!G103</f>
        <v>0</v>
      </c>
      <c r="G86" s="260">
        <f>G115*'Pomocná data V. PAF'!H103</f>
        <v>54.64958089</v>
      </c>
      <c r="H86" s="260">
        <f>H115*'Pomocná data V. PAF'!I103</f>
        <v>129.6508249</v>
      </c>
      <c r="I86" s="260">
        <f>I115*'Pomocná data V. PAF'!J103</f>
        <v>1220</v>
      </c>
      <c r="J86" s="260">
        <f>J115*'Pomocná data V. PAF'!K103</f>
        <v>926.0553174</v>
      </c>
      <c r="K86" s="260">
        <f>K115*'Pomocná data V. PAF'!L103</f>
        <v>10367.33681</v>
      </c>
      <c r="L86" s="260">
        <f>L115*'Pomocná data V. PAF'!M103</f>
        <v>905.3942436</v>
      </c>
      <c r="M86" s="260">
        <f>M115*'Pomocná data V. PAF'!N103</f>
        <v>0</v>
      </c>
      <c r="N86" s="260">
        <f>N115*'Pomocná data V. PAF'!O103</f>
        <v>227.5471227</v>
      </c>
      <c r="O86" s="260">
        <f>O115*'Pomocná data V. PAF'!P103</f>
        <v>0</v>
      </c>
      <c r="P86" s="260">
        <f>P115*'Pomocná data V. PAF'!Q103</f>
        <v>50.35871994</v>
      </c>
      <c r="Q86" s="260">
        <f>Q115*'Pomocná data V. PAF'!R103</f>
        <v>147.2181436</v>
      </c>
      <c r="R86" s="260">
        <f>R115*'Pomocná data V. PAF'!S103</f>
        <v>0</v>
      </c>
      <c r="S86" s="260">
        <f>S115*'Pomocná data V. PAF'!T103</f>
        <v>0</v>
      </c>
      <c r="T86" s="260">
        <f>T115*'Pomocná data V. PAF'!U103</f>
        <v>124.8279317</v>
      </c>
      <c r="U86" s="260">
        <f>U115*'Pomocná data V. PAF'!V103</f>
        <v>2308.162047</v>
      </c>
      <c r="V86" s="261">
        <f t="shared" si="24"/>
        <v>119708.8674</v>
      </c>
      <c r="W86" s="198"/>
      <c r="X86" s="198"/>
      <c r="Y86" s="36"/>
      <c r="Z86" s="36"/>
      <c r="AA86" s="36"/>
      <c r="AB86" s="36"/>
      <c r="AC86" s="36"/>
      <c r="AD86" s="36"/>
      <c r="AE86" s="39"/>
      <c r="AF86" s="39"/>
      <c r="AG86" s="39"/>
    </row>
    <row r="87" ht="15.75" customHeight="1">
      <c r="A87" s="205" t="s">
        <v>393</v>
      </c>
      <c r="B87" s="260">
        <f>B116*'Pomocná data V. PAF'!C104</f>
        <v>1152.040267</v>
      </c>
      <c r="C87" s="260">
        <f>C116*'Pomocná data V. PAF'!D104</f>
        <v>166498.9342</v>
      </c>
      <c r="D87" s="260">
        <f>D116*'Pomocná data V. PAF'!E104</f>
        <v>3224.205523</v>
      </c>
      <c r="E87" s="260">
        <f>E116*'Pomocná data V. PAF'!F104</f>
        <v>4330.762098</v>
      </c>
      <c r="F87" s="260">
        <f>F116*'Pomocná data V. PAF'!G104</f>
        <v>0</v>
      </c>
      <c r="G87" s="260">
        <f>G116*'Pomocná data V. PAF'!H104</f>
        <v>167.3994808</v>
      </c>
      <c r="H87" s="260">
        <f>H116*'Pomocná data V. PAF'!I104</f>
        <v>136.3581638</v>
      </c>
      <c r="I87" s="260">
        <f>I116*'Pomocná data V. PAF'!J104</f>
        <v>6233</v>
      </c>
      <c r="J87" s="260">
        <f>J116*'Pomocná data V. PAF'!K104</f>
        <v>2114.671567</v>
      </c>
      <c r="K87" s="260">
        <f>K116*'Pomocná data V. PAF'!L104</f>
        <v>24797.94713</v>
      </c>
      <c r="L87" s="260">
        <f>L116*'Pomocná data V. PAF'!M104</f>
        <v>1756.545297</v>
      </c>
      <c r="M87" s="260">
        <f>M116*'Pomocná data V. PAF'!N104</f>
        <v>0</v>
      </c>
      <c r="N87" s="260">
        <f>N116*'Pomocná data V. PAF'!O104</f>
        <v>482.8949492</v>
      </c>
      <c r="O87" s="260">
        <f>O116*'Pomocná data V. PAF'!P104</f>
        <v>0</v>
      </c>
      <c r="P87" s="260">
        <f>P116*'Pomocná data V. PAF'!Q104</f>
        <v>31.30491156</v>
      </c>
      <c r="Q87" s="260">
        <f>Q116*'Pomocná data V. PAF'!R104</f>
        <v>2065.519819</v>
      </c>
      <c r="R87" s="260">
        <f>R116*'Pomocná data V. PAF'!S104</f>
        <v>0</v>
      </c>
      <c r="S87" s="260">
        <f>S116*'Pomocná data V. PAF'!T104</f>
        <v>0</v>
      </c>
      <c r="T87" s="260">
        <f>T116*'Pomocná data V. PAF'!U104</f>
        <v>235.2021842</v>
      </c>
      <c r="U87" s="260">
        <f>U116*'Pomocná data V. PAF'!V104</f>
        <v>4804.203443</v>
      </c>
      <c r="V87" s="261">
        <f t="shared" si="24"/>
        <v>218030.989</v>
      </c>
      <c r="W87" s="198"/>
      <c r="X87" s="198"/>
      <c r="Y87" s="36"/>
      <c r="Z87" s="36"/>
      <c r="AA87" s="36"/>
      <c r="AB87" s="36"/>
      <c r="AC87" s="36"/>
      <c r="AD87" s="36"/>
      <c r="AE87" s="39"/>
      <c r="AF87" s="39"/>
      <c r="AG87" s="39"/>
    </row>
    <row r="88" ht="15.75" customHeight="1">
      <c r="A88" s="205" t="s">
        <v>394</v>
      </c>
      <c r="B88" s="260">
        <f>B117*'Pomocná data V. PAF'!C105</f>
        <v>2178.295704</v>
      </c>
      <c r="C88" s="260">
        <f>C117*'Pomocná data V. PAF'!D105</f>
        <v>247879.1758</v>
      </c>
      <c r="D88" s="260">
        <f>D117*'Pomocná data V. PAF'!E105</f>
        <v>6920.82489</v>
      </c>
      <c r="E88" s="260">
        <f>E117*'Pomocná data V. PAF'!F105</f>
        <v>11278.33866</v>
      </c>
      <c r="F88" s="260">
        <f>F117*'Pomocná data V. PAF'!G105</f>
        <v>0</v>
      </c>
      <c r="G88" s="260">
        <f>G117*'Pomocná data V. PAF'!H105</f>
        <v>243.17339</v>
      </c>
      <c r="H88" s="260">
        <f>H117*'Pomocná data V. PAF'!I105</f>
        <v>542.824356</v>
      </c>
      <c r="I88" s="260">
        <f>I117*'Pomocná data V. PAF'!J105</f>
        <v>11742</v>
      </c>
      <c r="J88" s="260">
        <f>J117*'Pomocná data V. PAF'!K105</f>
        <v>4015.01269</v>
      </c>
      <c r="K88" s="260">
        <f>K117*'Pomocná data V. PAF'!L105</f>
        <v>49725.56432</v>
      </c>
      <c r="L88" s="260">
        <f>L117*'Pomocná data V. PAF'!M105</f>
        <v>3356.555361</v>
      </c>
      <c r="M88" s="260">
        <f>M117*'Pomocná data V. PAF'!N105</f>
        <v>0</v>
      </c>
      <c r="N88" s="260">
        <f>N117*'Pomocná data V. PAF'!O105</f>
        <v>1109.040459</v>
      </c>
      <c r="O88" s="260">
        <f>O117*'Pomocná data V. PAF'!P105</f>
        <v>0</v>
      </c>
      <c r="P88" s="260">
        <f>P117*'Pomocná data V. PAF'!Q105</f>
        <v>817.6622465</v>
      </c>
      <c r="Q88" s="260">
        <f>Q117*'Pomocná data V. PAF'!R105</f>
        <v>1491.973469</v>
      </c>
      <c r="R88" s="260">
        <f>R117*'Pomocná data V. PAF'!S105</f>
        <v>0</v>
      </c>
      <c r="S88" s="260">
        <f>S117*'Pomocná data V. PAF'!T105</f>
        <v>16.50856408</v>
      </c>
      <c r="T88" s="260">
        <f>T117*'Pomocná data V. PAF'!U105</f>
        <v>2080.792695</v>
      </c>
      <c r="U88" s="260">
        <f>U117*'Pomocná data V. PAF'!V105</f>
        <v>11374.73061</v>
      </c>
      <c r="V88" s="261">
        <f t="shared" si="24"/>
        <v>354772.4732</v>
      </c>
      <c r="W88" s="198"/>
      <c r="X88" s="198"/>
      <c r="Y88" s="36"/>
      <c r="Z88" s="36"/>
      <c r="AA88" s="36"/>
      <c r="AB88" s="36"/>
      <c r="AC88" s="36"/>
      <c r="AD88" s="36"/>
      <c r="AE88" s="39"/>
      <c r="AF88" s="39"/>
      <c r="AG88" s="39"/>
    </row>
    <row r="89" ht="15.75" customHeight="1">
      <c r="A89" s="205" t="s">
        <v>395</v>
      </c>
      <c r="B89" s="260">
        <f>B118*'Pomocná data V. PAF'!C106</f>
        <v>2477.893765</v>
      </c>
      <c r="C89" s="260">
        <f>C118*'Pomocná data V. PAF'!D106</f>
        <v>252488.2018</v>
      </c>
      <c r="D89" s="260">
        <f>D118*'Pomocná data V. PAF'!E106</f>
        <v>11151.33735</v>
      </c>
      <c r="E89" s="260">
        <f>E118*'Pomocná data V. PAF'!F106</f>
        <v>23200.4794</v>
      </c>
      <c r="F89" s="260">
        <f>F118*'Pomocná data V. PAF'!G106</f>
        <v>0</v>
      </c>
      <c r="G89" s="260">
        <f>G118*'Pomocná data V. PAF'!H106</f>
        <v>682.8318861</v>
      </c>
      <c r="H89" s="260">
        <f>H118*'Pomocná data V. PAF'!I106</f>
        <v>1197.583184</v>
      </c>
      <c r="I89" s="260">
        <f>I118*'Pomocná data V. PAF'!J106</f>
        <v>6912</v>
      </c>
      <c r="J89" s="260">
        <f>J118*'Pomocná data V. PAF'!K106</f>
        <v>4509.37876</v>
      </c>
      <c r="K89" s="260">
        <f>K118*'Pomocná data V. PAF'!L106</f>
        <v>83184.11899</v>
      </c>
      <c r="L89" s="260">
        <f>L118*'Pomocná data V. PAF'!M106</f>
        <v>5562.363374</v>
      </c>
      <c r="M89" s="260">
        <f>M118*'Pomocná data V. PAF'!N106</f>
        <v>0</v>
      </c>
      <c r="N89" s="260">
        <f>N118*'Pomocná data V. PAF'!O106</f>
        <v>1638.66892</v>
      </c>
      <c r="O89" s="260">
        <f>O118*'Pomocná data V. PAF'!P106</f>
        <v>0</v>
      </c>
      <c r="P89" s="260">
        <f>P118*'Pomocná data V. PAF'!Q106</f>
        <v>1936.40788</v>
      </c>
      <c r="Q89" s="260">
        <f>Q118*'Pomocná data V. PAF'!R106</f>
        <v>3933.662731</v>
      </c>
      <c r="R89" s="260">
        <f>R118*'Pomocná data V. PAF'!S106</f>
        <v>0</v>
      </c>
      <c r="S89" s="260">
        <f>S118*'Pomocná data V. PAF'!T106</f>
        <v>520.2146306</v>
      </c>
      <c r="T89" s="260">
        <f>T118*'Pomocná data V. PAF'!U106</f>
        <v>2961.885599</v>
      </c>
      <c r="U89" s="260">
        <f>U118*'Pomocná data V. PAF'!V106</f>
        <v>17096.54121</v>
      </c>
      <c r="V89" s="261">
        <f t="shared" si="24"/>
        <v>419453.5694</v>
      </c>
      <c r="W89" s="198"/>
      <c r="X89" s="198"/>
      <c r="Y89" s="36"/>
      <c r="Z89" s="36"/>
      <c r="AA89" s="36"/>
      <c r="AB89" s="36"/>
      <c r="AC89" s="36"/>
      <c r="AD89" s="36"/>
      <c r="AE89" s="39"/>
      <c r="AF89" s="39"/>
      <c r="AG89" s="39"/>
    </row>
    <row r="90" ht="15.75" customHeight="1">
      <c r="A90" s="205" t="s">
        <v>396</v>
      </c>
      <c r="B90" s="260">
        <f>B119*'Pomocná data V. PAF'!C107</f>
        <v>3215.969573</v>
      </c>
      <c r="C90" s="260">
        <f>C119*'Pomocná data V. PAF'!D107</f>
        <v>303920.7159</v>
      </c>
      <c r="D90" s="260">
        <f>D119*'Pomocná data V. PAF'!E107</f>
        <v>16591.69853</v>
      </c>
      <c r="E90" s="260">
        <f>E119*'Pomocná data V. PAF'!F107</f>
        <v>53563.48507</v>
      </c>
      <c r="F90" s="260">
        <f>F119*'Pomocná data V. PAF'!G107</f>
        <v>0</v>
      </c>
      <c r="G90" s="260">
        <f>G119*'Pomocná data V. PAF'!H107</f>
        <v>490.8401335</v>
      </c>
      <c r="H90" s="260">
        <f>H119*'Pomocná data V. PAF'!I107</f>
        <v>3299.399486</v>
      </c>
      <c r="I90" s="260">
        <f>I119*'Pomocná data V. PAF'!J107</f>
        <v>11380</v>
      </c>
      <c r="J90" s="260">
        <f>J119*'Pomocná data V. PAF'!K107</f>
        <v>5596.718657</v>
      </c>
      <c r="K90" s="260">
        <f>K119*'Pomocná data V. PAF'!L107</f>
        <v>158607.6452</v>
      </c>
      <c r="L90" s="260">
        <f>L119*'Pomocná data V. PAF'!M107</f>
        <v>5622.885683</v>
      </c>
      <c r="M90" s="260">
        <f>M119*'Pomocná data V. PAF'!N107</f>
        <v>0</v>
      </c>
      <c r="N90" s="260">
        <f>N119*'Pomocná data V. PAF'!O107</f>
        <v>3443.617747</v>
      </c>
      <c r="O90" s="260">
        <f>O119*'Pomocná data V. PAF'!P107</f>
        <v>0</v>
      </c>
      <c r="P90" s="260">
        <f>P119*'Pomocná data V. PAF'!Q107</f>
        <v>3517.008446</v>
      </c>
      <c r="Q90" s="260">
        <f>Q119*'Pomocná data V. PAF'!R107</f>
        <v>9188.162114</v>
      </c>
      <c r="R90" s="260">
        <f>R119*'Pomocná data V. PAF'!S107</f>
        <v>0</v>
      </c>
      <c r="S90" s="260">
        <f>S119*'Pomocná data V. PAF'!T107</f>
        <v>358.5500296</v>
      </c>
      <c r="T90" s="260">
        <f>T119*'Pomocná data V. PAF'!U107</f>
        <v>2506.401913</v>
      </c>
      <c r="U90" s="260">
        <f>U119*'Pomocná data V. PAF'!V107</f>
        <v>23625.99162</v>
      </c>
      <c r="V90" s="261">
        <f t="shared" si="24"/>
        <v>604929.0901</v>
      </c>
      <c r="W90" s="198"/>
      <c r="X90" s="198"/>
      <c r="Y90" s="36"/>
      <c r="Z90" s="36"/>
      <c r="AA90" s="36"/>
      <c r="AB90" s="36"/>
      <c r="AC90" s="36"/>
      <c r="AD90" s="36"/>
      <c r="AE90" s="39"/>
      <c r="AF90" s="39"/>
      <c r="AG90" s="39"/>
    </row>
    <row r="91" ht="15.75" customHeight="1">
      <c r="A91" s="205" t="s">
        <v>397</v>
      </c>
      <c r="B91" s="260">
        <f>B120*'Pomocná data V. PAF'!C108</f>
        <v>3847.742049</v>
      </c>
      <c r="C91" s="260">
        <f>C120*'Pomocná data V. PAF'!D108</f>
        <v>336497.9619</v>
      </c>
      <c r="D91" s="260">
        <f>D120*'Pomocná data V. PAF'!E108</f>
        <v>24721.44512</v>
      </c>
      <c r="E91" s="260">
        <f>E120*'Pomocná data V. PAF'!F108</f>
        <v>66507.04517</v>
      </c>
      <c r="F91" s="260">
        <f>F120*'Pomocná data V. PAF'!G108</f>
        <v>0</v>
      </c>
      <c r="G91" s="260">
        <f>G120*'Pomocná data V. PAF'!H108</f>
        <v>577.7366596</v>
      </c>
      <c r="H91" s="260">
        <f>H120*'Pomocná data V. PAF'!I108</f>
        <v>4293.951696</v>
      </c>
      <c r="I91" s="260">
        <f>I120*'Pomocná data V. PAF'!J108</f>
        <v>2864</v>
      </c>
      <c r="J91" s="260">
        <f>J120*'Pomocná data V. PAF'!K108</f>
        <v>6162.630067</v>
      </c>
      <c r="K91" s="260">
        <f>K120*'Pomocná data V. PAF'!L108</f>
        <v>230637.2835</v>
      </c>
      <c r="L91" s="260">
        <f>L120*'Pomocná data V. PAF'!M108</f>
        <v>8293.321402</v>
      </c>
      <c r="M91" s="260">
        <f>M120*'Pomocná data V. PAF'!N108</f>
        <v>0</v>
      </c>
      <c r="N91" s="260">
        <f>N120*'Pomocná data V. PAF'!O108</f>
        <v>5026.67026</v>
      </c>
      <c r="O91" s="260">
        <f>O120*'Pomocná data V. PAF'!P108</f>
        <v>0</v>
      </c>
      <c r="P91" s="260">
        <f>P120*'Pomocná data V. PAF'!Q108</f>
        <v>3309.314616</v>
      </c>
      <c r="Q91" s="260">
        <f>Q120*'Pomocná data V. PAF'!R108</f>
        <v>10076.87151</v>
      </c>
      <c r="R91" s="260">
        <f>R120*'Pomocná data V. PAF'!S108</f>
        <v>0</v>
      </c>
      <c r="S91" s="260">
        <f>S120*'Pomocná data V. PAF'!T108</f>
        <v>301.2455406</v>
      </c>
      <c r="T91" s="260">
        <f>T120*'Pomocná data V. PAF'!U108</f>
        <v>6692.202489</v>
      </c>
      <c r="U91" s="260">
        <f>U120*'Pomocná data V. PAF'!V108</f>
        <v>26960.88388</v>
      </c>
      <c r="V91" s="261">
        <f t="shared" si="24"/>
        <v>736770.3058</v>
      </c>
      <c r="W91" s="198"/>
      <c r="X91" s="198"/>
      <c r="Y91" s="36"/>
      <c r="Z91" s="36"/>
      <c r="AA91" s="36"/>
      <c r="AB91" s="36"/>
      <c r="AC91" s="36"/>
      <c r="AD91" s="36"/>
      <c r="AE91" s="39"/>
      <c r="AF91" s="39"/>
      <c r="AG91" s="39"/>
    </row>
    <row r="92" ht="15.75" customHeight="1">
      <c r="A92" s="205" t="s">
        <v>398</v>
      </c>
      <c r="B92" s="260">
        <f>B121*'Pomocná data V. PAF'!C109</f>
        <v>2933.212793</v>
      </c>
      <c r="C92" s="260">
        <f>C121*'Pomocná data V. PAF'!D109</f>
        <v>376305.3271</v>
      </c>
      <c r="D92" s="260">
        <f>D121*'Pomocná data V. PAF'!E109</f>
        <v>22057.05819</v>
      </c>
      <c r="E92" s="260">
        <f>E121*'Pomocná data V. PAF'!F109</f>
        <v>87886.76754</v>
      </c>
      <c r="F92" s="260">
        <f>F121*'Pomocná data V. PAF'!G109</f>
        <v>0</v>
      </c>
      <c r="G92" s="260">
        <f>G121*'Pomocná data V. PAF'!H109</f>
        <v>607.6455034</v>
      </c>
      <c r="H92" s="260">
        <f>H121*'Pomocná data V. PAF'!I109</f>
        <v>5768.464262</v>
      </c>
      <c r="I92" s="260">
        <f>I121*'Pomocná data V. PAF'!J109</f>
        <v>1660</v>
      </c>
      <c r="J92" s="260">
        <f>J121*'Pomocná data V. PAF'!K109</f>
        <v>5460.733601</v>
      </c>
      <c r="K92" s="260">
        <f>K121*'Pomocná data V. PAF'!L109</f>
        <v>304046.5442</v>
      </c>
      <c r="L92" s="260">
        <f>L121*'Pomocná data V. PAF'!M109</f>
        <v>8196.65185</v>
      </c>
      <c r="M92" s="260">
        <f>M121*'Pomocná data V. PAF'!N109</f>
        <v>0</v>
      </c>
      <c r="N92" s="260">
        <f>N121*'Pomocná data V. PAF'!O109</f>
        <v>6858.735061</v>
      </c>
      <c r="O92" s="260">
        <f>O121*'Pomocná data V. PAF'!P109</f>
        <v>0</v>
      </c>
      <c r="P92" s="260">
        <f>P121*'Pomocná data V. PAF'!Q109</f>
        <v>5212.28217</v>
      </c>
      <c r="Q92" s="260">
        <f>Q121*'Pomocná data V. PAF'!R109</f>
        <v>13110.43323</v>
      </c>
      <c r="R92" s="260">
        <f>R121*'Pomocná data V. PAF'!S109</f>
        <v>0</v>
      </c>
      <c r="S92" s="260">
        <f>S121*'Pomocná data V. PAF'!T109</f>
        <v>479.6554094</v>
      </c>
      <c r="T92" s="260">
        <f>T121*'Pomocná data V. PAF'!U109</f>
        <v>6021.652223</v>
      </c>
      <c r="U92" s="260">
        <f>U121*'Pomocná data V. PAF'!V109</f>
        <v>30410.18592</v>
      </c>
      <c r="V92" s="261">
        <f t="shared" si="24"/>
        <v>877015.349</v>
      </c>
      <c r="W92" s="198"/>
      <c r="X92" s="198"/>
      <c r="Y92" s="36"/>
      <c r="Z92" s="36"/>
      <c r="AA92" s="36"/>
      <c r="AB92" s="36"/>
      <c r="AC92" s="36"/>
      <c r="AD92" s="36"/>
      <c r="AE92" s="39"/>
      <c r="AF92" s="39"/>
      <c r="AG92" s="39"/>
    </row>
    <row r="93" ht="15.75" customHeight="1">
      <c r="A93" s="205" t="s">
        <v>399</v>
      </c>
      <c r="B93" s="260">
        <f>B122*'Pomocná data V. PAF'!C110</f>
        <v>350.0883565</v>
      </c>
      <c r="C93" s="260">
        <f>C122*'Pomocná data V. PAF'!D110</f>
        <v>21860.77572</v>
      </c>
      <c r="D93" s="260">
        <f>D122*'Pomocná data V. PAF'!E110</f>
        <v>2678.750439</v>
      </c>
      <c r="E93" s="260">
        <f>E122*'Pomocná data V. PAF'!F110</f>
        <v>11295.03404</v>
      </c>
      <c r="F93" s="260">
        <f>F122*'Pomocná data V. PAF'!G110</f>
        <v>0</v>
      </c>
      <c r="G93" s="260">
        <f>G122*'Pomocná data V. PAF'!H110</f>
        <v>94.82617875</v>
      </c>
      <c r="H93" s="260">
        <f>H122*'Pomocná data V. PAF'!I110</f>
        <v>663.8523067</v>
      </c>
      <c r="I93" s="260">
        <f>I122*'Pomocná data V. PAF'!J110</f>
        <v>0</v>
      </c>
      <c r="J93" s="260">
        <f>J122*'Pomocná data V. PAF'!K110</f>
        <v>986.6871859</v>
      </c>
      <c r="K93" s="260">
        <f>K122*'Pomocná data V. PAF'!L110</f>
        <v>32811.43663</v>
      </c>
      <c r="L93" s="260">
        <f>L122*'Pomocná data V. PAF'!M110</f>
        <v>909.9858462</v>
      </c>
      <c r="M93" s="260">
        <f>M122*'Pomocná data V. PAF'!N110</f>
        <v>0</v>
      </c>
      <c r="N93" s="260">
        <f>N122*'Pomocná data V. PAF'!O110</f>
        <v>703.6434481</v>
      </c>
      <c r="O93" s="260">
        <f>O122*'Pomocná data V. PAF'!P110</f>
        <v>0</v>
      </c>
      <c r="P93" s="260">
        <f>P122*'Pomocná data V. PAF'!Q110</f>
        <v>1144.425515</v>
      </c>
      <c r="Q93" s="260">
        <f>Q122*'Pomocná data V. PAF'!R110</f>
        <v>2899.869642</v>
      </c>
      <c r="R93" s="260">
        <f>R122*'Pomocná data V. PAF'!S110</f>
        <v>0</v>
      </c>
      <c r="S93" s="260">
        <f>S122*'Pomocná data V. PAF'!T110</f>
        <v>154.4471725</v>
      </c>
      <c r="T93" s="260">
        <f>T122*'Pomocná data V. PAF'!U110</f>
        <v>1154.119086</v>
      </c>
      <c r="U93" s="260">
        <f>U122*'Pomocná data V. PAF'!V110</f>
        <v>2598.667652</v>
      </c>
      <c r="V93" s="261">
        <f t="shared" si="24"/>
        <v>80306.60922</v>
      </c>
      <c r="W93" s="198"/>
      <c r="X93" s="198"/>
      <c r="Y93" s="36"/>
      <c r="Z93" s="36"/>
      <c r="AA93" s="36"/>
      <c r="AB93" s="36"/>
      <c r="AC93" s="36"/>
      <c r="AD93" s="36"/>
      <c r="AE93" s="39"/>
      <c r="AF93" s="39"/>
      <c r="AG93" s="39"/>
    </row>
    <row r="94" ht="15.75" customHeight="1">
      <c r="A94" s="262" t="s">
        <v>68</v>
      </c>
      <c r="B94" s="263">
        <f t="shared" ref="B94:V94" si="25">SUM(B85:B93)</f>
        <v>17691.46559</v>
      </c>
      <c r="C94" s="263">
        <f t="shared" si="25"/>
        <v>1868119.12</v>
      </c>
      <c r="D94" s="263">
        <f t="shared" si="25"/>
        <v>89565.89866</v>
      </c>
      <c r="E94" s="263">
        <f t="shared" si="25"/>
        <v>259701.9947</v>
      </c>
      <c r="F94" s="263">
        <f t="shared" si="25"/>
        <v>0</v>
      </c>
      <c r="G94" s="263">
        <f t="shared" si="25"/>
        <v>2944.351998</v>
      </c>
      <c r="H94" s="263">
        <f t="shared" si="25"/>
        <v>16080.09414</v>
      </c>
      <c r="I94" s="263">
        <f t="shared" si="25"/>
        <v>45039</v>
      </c>
      <c r="J94" s="263">
        <f t="shared" si="25"/>
        <v>30198.37452</v>
      </c>
      <c r="K94" s="263">
        <f t="shared" si="25"/>
        <v>900787.0813</v>
      </c>
      <c r="L94" s="263">
        <f t="shared" si="25"/>
        <v>35032.20147</v>
      </c>
      <c r="M94" s="263">
        <f t="shared" si="25"/>
        <v>0</v>
      </c>
      <c r="N94" s="263">
        <f t="shared" si="25"/>
        <v>19525.33946</v>
      </c>
      <c r="O94" s="263">
        <f t="shared" si="25"/>
        <v>0</v>
      </c>
      <c r="P94" s="263">
        <f t="shared" si="25"/>
        <v>16018.7645</v>
      </c>
      <c r="Q94" s="263">
        <f t="shared" si="25"/>
        <v>42953.31428</v>
      </c>
      <c r="R94" s="263">
        <f t="shared" si="25"/>
        <v>0</v>
      </c>
      <c r="S94" s="263">
        <f t="shared" si="25"/>
        <v>1831.869633</v>
      </c>
      <c r="T94" s="263">
        <f t="shared" si="25"/>
        <v>21893.47389</v>
      </c>
      <c r="U94" s="263">
        <f t="shared" si="25"/>
        <v>120260.7819</v>
      </c>
      <c r="V94" s="264">
        <f t="shared" si="25"/>
        <v>3487643.127</v>
      </c>
      <c r="W94" s="198"/>
      <c r="X94" s="198"/>
      <c r="Y94" s="36"/>
      <c r="Z94" s="36"/>
      <c r="AA94" s="36"/>
      <c r="AB94" s="36"/>
      <c r="AC94" s="36"/>
      <c r="AD94" s="36"/>
      <c r="AE94" s="39"/>
      <c r="AF94" s="39"/>
      <c r="AG94" s="39"/>
    </row>
    <row r="95" ht="15.75" customHeight="1">
      <c r="A95" s="163"/>
      <c r="B95" s="163"/>
      <c r="C95" s="163"/>
      <c r="D95" s="163"/>
      <c r="E95" s="163"/>
      <c r="F95" s="163"/>
      <c r="G95" s="163"/>
      <c r="H95" s="163"/>
      <c r="I95" s="163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257"/>
      <c r="W95" s="198"/>
      <c r="X95" s="198"/>
      <c r="Y95" s="36"/>
      <c r="Z95" s="36"/>
      <c r="AA95" s="36"/>
      <c r="AB95" s="36"/>
      <c r="AC95" s="36"/>
      <c r="AD95" s="36"/>
      <c r="AE95" s="39"/>
      <c r="AF95" s="39"/>
      <c r="AG95" s="39"/>
    </row>
    <row r="96" ht="15.75" customHeight="1">
      <c r="A96" s="258" t="s">
        <v>413</v>
      </c>
      <c r="B96" s="194"/>
      <c r="C96" s="195"/>
      <c r="D96" s="163"/>
      <c r="E96" s="163"/>
      <c r="F96" s="163"/>
      <c r="G96" s="163"/>
      <c r="H96" s="163"/>
      <c r="I96" s="163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257"/>
      <c r="W96" s="198"/>
      <c r="X96" s="198"/>
      <c r="Y96" s="36"/>
      <c r="Z96" s="36"/>
      <c r="AA96" s="36"/>
      <c r="AB96" s="36"/>
      <c r="AC96" s="36"/>
      <c r="AD96" s="36"/>
      <c r="AE96" s="39"/>
      <c r="AF96" s="39"/>
      <c r="AG96" s="39"/>
    </row>
    <row r="97" ht="15.75" customHeight="1">
      <c r="A97" s="241" t="s">
        <v>404</v>
      </c>
      <c r="B97" s="223" t="s">
        <v>288</v>
      </c>
      <c r="C97" s="223" t="s">
        <v>405</v>
      </c>
      <c r="D97" s="223" t="s">
        <v>292</v>
      </c>
      <c r="E97" s="223" t="s">
        <v>294</v>
      </c>
      <c r="F97" s="223" t="s">
        <v>296</v>
      </c>
      <c r="G97" s="223" t="s">
        <v>298</v>
      </c>
      <c r="H97" s="223" t="s">
        <v>300</v>
      </c>
      <c r="I97" s="223" t="s">
        <v>89</v>
      </c>
      <c r="J97" s="223" t="s">
        <v>303</v>
      </c>
      <c r="K97" s="223" t="s">
        <v>305</v>
      </c>
      <c r="L97" s="223" t="s">
        <v>307</v>
      </c>
      <c r="M97" s="223" t="s">
        <v>406</v>
      </c>
      <c r="N97" s="223" t="s">
        <v>311</v>
      </c>
      <c r="O97" s="223" t="s">
        <v>313</v>
      </c>
      <c r="P97" s="223" t="s">
        <v>315</v>
      </c>
      <c r="Q97" s="223" t="s">
        <v>407</v>
      </c>
      <c r="R97" s="223" t="s">
        <v>319</v>
      </c>
      <c r="S97" s="223" t="s">
        <v>321</v>
      </c>
      <c r="T97" s="223" t="s">
        <v>323</v>
      </c>
      <c r="U97" s="223" t="s">
        <v>408</v>
      </c>
      <c r="V97" s="265" t="s">
        <v>68</v>
      </c>
      <c r="W97" s="198"/>
      <c r="X97" s="198"/>
      <c r="Y97" s="36"/>
      <c r="Z97" s="36"/>
      <c r="AA97" s="36"/>
      <c r="AB97" s="36"/>
      <c r="AC97" s="266"/>
      <c r="AD97" s="266"/>
      <c r="AE97" s="39"/>
      <c r="AF97" s="39"/>
      <c r="AG97" s="39"/>
    </row>
    <row r="98" ht="15.75" customHeight="1">
      <c r="A98" s="243" t="s">
        <v>391</v>
      </c>
      <c r="B98" s="260">
        <f>B128*'Pomocná data V. PAF'!C123</f>
        <v>730.2341032</v>
      </c>
      <c r="C98" s="260">
        <f>C128*'Pomocná data V. PAF'!D123</f>
        <v>38982.26174</v>
      </c>
      <c r="D98" s="260">
        <f>D128*'Pomocná data V. PAF'!E123</f>
        <v>675.0872336</v>
      </c>
      <c r="E98" s="260">
        <f>E128*'Pomocná data V. PAF'!F123</f>
        <v>195.3392205</v>
      </c>
      <c r="F98" s="260">
        <f>F128*'Pomocná data V. PAF'!G123</f>
        <v>80.0772688</v>
      </c>
      <c r="G98" s="260">
        <f>G128*'Pomocná data V. PAF'!H123</f>
        <v>0</v>
      </c>
      <c r="H98" s="260">
        <f>H128*'Pomocná data V. PAF'!I123</f>
        <v>24.3607677</v>
      </c>
      <c r="I98" s="260">
        <f>I128*'Pomocná data V. PAF'!J123</f>
        <v>3312</v>
      </c>
      <c r="J98" s="260">
        <f>J128*'Pomocná data V. PAF'!K123</f>
        <v>2075.063508</v>
      </c>
      <c r="K98" s="260">
        <f>K128*'Pomocná data V. PAF'!L123</f>
        <v>780.3287815</v>
      </c>
      <c r="L98" s="260">
        <f>L128*'Pomocná data V. PAF'!M123</f>
        <v>262.2274753</v>
      </c>
      <c r="M98" s="260">
        <f>M128*'Pomocná data V. PAF'!N123</f>
        <v>0</v>
      </c>
      <c r="N98" s="260">
        <f>N128*'Pomocná data V. PAF'!O123</f>
        <v>12.4497385</v>
      </c>
      <c r="O98" s="260">
        <f>O128*'Pomocná data V. PAF'!P123</f>
        <v>120.7961253</v>
      </c>
      <c r="P98" s="260">
        <f>P128*'Pomocná data V. PAF'!Q123</f>
        <v>1.091914818</v>
      </c>
      <c r="Q98" s="260">
        <f>Q128*'Pomocná data V. PAF'!R123</f>
        <v>29.4307433</v>
      </c>
      <c r="R98" s="260">
        <f>R128*'Pomocná data V. PAF'!S123</f>
        <v>150.1768499</v>
      </c>
      <c r="S98" s="260">
        <f>S128*'Pomocná data V. PAF'!T123</f>
        <v>0</v>
      </c>
      <c r="T98" s="260">
        <f>T128*'Pomocná data V. PAF'!U123</f>
        <v>0.8394412907</v>
      </c>
      <c r="U98" s="260">
        <f>U128*'Pomocná data V. PAF'!V123</f>
        <v>1027.900976</v>
      </c>
      <c r="V98" s="261">
        <f t="shared" ref="V98:V106" si="26">SUM(B98:U98)</f>
        <v>48459.66589</v>
      </c>
      <c r="W98" s="198"/>
      <c r="X98" s="198"/>
      <c r="Y98" s="36"/>
      <c r="Z98" s="36"/>
      <c r="AA98" s="36"/>
      <c r="AB98" s="36"/>
      <c r="AC98" s="266"/>
      <c r="AD98" s="266"/>
      <c r="AE98" s="39"/>
      <c r="AF98" s="39"/>
      <c r="AG98" s="39"/>
    </row>
    <row r="99" ht="15.75" customHeight="1">
      <c r="A99" s="243" t="s">
        <v>392</v>
      </c>
      <c r="B99" s="260">
        <f>B129*'Pomocná data V. PAF'!C124</f>
        <v>1246.091466</v>
      </c>
      <c r="C99" s="260">
        <f>C129*'Pomocná data V. PAF'!D124</f>
        <v>65880.68881</v>
      </c>
      <c r="D99" s="260">
        <f>D129*'Pomocná data V. PAF'!E124</f>
        <v>1550.98083</v>
      </c>
      <c r="E99" s="260">
        <f>E129*'Pomocná data V. PAF'!F124</f>
        <v>364.8499002</v>
      </c>
      <c r="F99" s="260">
        <f>F129*'Pomocná data V. PAF'!G124</f>
        <v>135.2097428</v>
      </c>
      <c r="G99" s="260">
        <f>G129*'Pomocná data V. PAF'!H124</f>
        <v>0</v>
      </c>
      <c r="H99" s="260">
        <f>H129*'Pomocná data V. PAF'!I124</f>
        <v>43.99228148</v>
      </c>
      <c r="I99" s="260">
        <f>I129*'Pomocná data V. PAF'!J124</f>
        <v>10655</v>
      </c>
      <c r="J99" s="260">
        <f>J129*'Pomocná data V. PAF'!K124</f>
        <v>5126.753238</v>
      </c>
      <c r="K99" s="260">
        <f>K129*'Pomocná data V. PAF'!L124</f>
        <v>1531.382347</v>
      </c>
      <c r="L99" s="260">
        <f>L129*'Pomocná data V. PAF'!M124</f>
        <v>404.1271379</v>
      </c>
      <c r="M99" s="260">
        <f>M129*'Pomocná data V. PAF'!N124</f>
        <v>0</v>
      </c>
      <c r="N99" s="260">
        <f>N129*'Pomocná data V. PAF'!O124</f>
        <v>57.92362187</v>
      </c>
      <c r="O99" s="260">
        <f>O129*'Pomocná data V. PAF'!P124</f>
        <v>438.6656806</v>
      </c>
      <c r="P99" s="260">
        <f>P129*'Pomocná data V. PAF'!Q124</f>
        <v>96.93299844</v>
      </c>
      <c r="Q99" s="260">
        <f>Q129*'Pomocná data V. PAF'!R124</f>
        <v>196.8896438</v>
      </c>
      <c r="R99" s="260">
        <f>R129*'Pomocná data V. PAF'!S124</f>
        <v>296.3515252</v>
      </c>
      <c r="S99" s="260">
        <f>S129*'Pomocná data V. PAF'!T124</f>
        <v>32.93450671</v>
      </c>
      <c r="T99" s="260">
        <f>T129*'Pomocná data V. PAF'!U124</f>
        <v>129.1046298</v>
      </c>
      <c r="U99" s="260">
        <f>U129*'Pomocná data V. PAF'!V124</f>
        <v>2311.18188</v>
      </c>
      <c r="V99" s="261">
        <f t="shared" si="26"/>
        <v>90499.06024</v>
      </c>
      <c r="W99" s="198"/>
      <c r="X99" s="198"/>
      <c r="Y99" s="36"/>
      <c r="Z99" s="36"/>
      <c r="AA99" s="36"/>
      <c r="AB99" s="36"/>
      <c r="AC99" s="266"/>
      <c r="AD99" s="266"/>
      <c r="AE99" s="39"/>
      <c r="AF99" s="39"/>
      <c r="AG99" s="39"/>
    </row>
    <row r="100" ht="15.75" customHeight="1">
      <c r="A100" s="243" t="s">
        <v>393</v>
      </c>
      <c r="B100" s="260">
        <f>B130*'Pomocná data V. PAF'!C125</f>
        <v>3309.524878</v>
      </c>
      <c r="C100" s="260">
        <f>C130*'Pomocná data V. PAF'!D125</f>
        <v>151193.205</v>
      </c>
      <c r="D100" s="260">
        <f>D130*'Pomocná data V. PAF'!E125</f>
        <v>2335.035569</v>
      </c>
      <c r="E100" s="260">
        <f>E130*'Pomocná data V. PAF'!F125</f>
        <v>1358.609812</v>
      </c>
      <c r="F100" s="260">
        <f>F130*'Pomocná data V. PAF'!G125</f>
        <v>189.1097235</v>
      </c>
      <c r="G100" s="260">
        <f>G130*'Pomocná data V. PAF'!H125</f>
        <v>0</v>
      </c>
      <c r="H100" s="260">
        <f>H130*'Pomocná data V. PAF'!I125</f>
        <v>123.6216608</v>
      </c>
      <c r="I100" s="260">
        <f>I130*'Pomocná data V. PAF'!J125</f>
        <v>13493</v>
      </c>
      <c r="J100" s="260">
        <f>J130*'Pomocná data V. PAF'!K125</f>
        <v>11943.98285</v>
      </c>
      <c r="K100" s="260">
        <f>K130*'Pomocná data V. PAF'!L125</f>
        <v>5715.366252</v>
      </c>
      <c r="L100" s="260">
        <f>L130*'Pomocná data V. PAF'!M125</f>
        <v>1723.616705</v>
      </c>
      <c r="M100" s="260">
        <f>M130*'Pomocná data V. PAF'!N125</f>
        <v>100.4431938</v>
      </c>
      <c r="N100" s="260">
        <f>N130*'Pomocná data V. PAF'!O125</f>
        <v>288.3792023</v>
      </c>
      <c r="O100" s="260">
        <f>O130*'Pomocná data V. PAF'!P125</f>
        <v>2056.548147</v>
      </c>
      <c r="P100" s="260">
        <f>P130*'Pomocná data V. PAF'!Q125</f>
        <v>188.6119163</v>
      </c>
      <c r="Q100" s="260">
        <f>Q130*'Pomocná data V. PAF'!R125</f>
        <v>583.5583444</v>
      </c>
      <c r="R100" s="260">
        <f>R130*'Pomocná data V. PAF'!S125</f>
        <v>623.6587731</v>
      </c>
      <c r="S100" s="260">
        <f>S130*'Pomocná data V. PAF'!T125</f>
        <v>7.664107486</v>
      </c>
      <c r="T100" s="260">
        <f>T130*'Pomocná data V. PAF'!U125</f>
        <v>198.7066212</v>
      </c>
      <c r="U100" s="260">
        <f>U130*'Pomocná data V. PAF'!V125</f>
        <v>5593.972082</v>
      </c>
      <c r="V100" s="261">
        <f t="shared" si="26"/>
        <v>201026.6148</v>
      </c>
      <c r="W100" s="198"/>
      <c r="X100" s="198"/>
      <c r="Y100" s="36"/>
      <c r="Z100" s="36"/>
      <c r="AA100" s="36"/>
      <c r="AB100" s="36"/>
      <c r="AC100" s="266"/>
      <c r="AD100" s="266"/>
      <c r="AE100" s="39"/>
      <c r="AF100" s="39"/>
      <c r="AG100" s="39"/>
    </row>
    <row r="101" ht="15.75" customHeight="1">
      <c r="A101" s="243" t="s">
        <v>394</v>
      </c>
      <c r="B101" s="260">
        <f>B131*'Pomocná data V. PAF'!C126</f>
        <v>5083.882006</v>
      </c>
      <c r="C101" s="260">
        <f>C131*'Pomocná data V. PAF'!D126</f>
        <v>271340.5572</v>
      </c>
      <c r="D101" s="260">
        <f>D131*'Pomocná data V. PAF'!E126</f>
        <v>2903.072519</v>
      </c>
      <c r="E101" s="260">
        <f>E131*'Pomocná data V. PAF'!F126</f>
        <v>3825.520107</v>
      </c>
      <c r="F101" s="260">
        <f>F131*'Pomocná data V. PAF'!G126</f>
        <v>488.7886826</v>
      </c>
      <c r="G101" s="260">
        <f>G131*'Pomocná data V. PAF'!H126</f>
        <v>0</v>
      </c>
      <c r="H101" s="260">
        <f>H131*'Pomocná data V. PAF'!I126</f>
        <v>574.0399174</v>
      </c>
      <c r="I101" s="260">
        <f>I131*'Pomocná data V. PAF'!J126</f>
        <v>18893</v>
      </c>
      <c r="J101" s="260">
        <f>J131*'Pomocná data V. PAF'!K126</f>
        <v>19529.50532</v>
      </c>
      <c r="K101" s="260">
        <f>K131*'Pomocná data V. PAF'!L126</f>
        <v>16541.84244</v>
      </c>
      <c r="L101" s="260">
        <f>L131*'Pomocná data V. PAF'!M126</f>
        <v>2861.858372</v>
      </c>
      <c r="M101" s="260">
        <f>M131*'Pomocná data V. PAF'!N126</f>
        <v>63.81936367</v>
      </c>
      <c r="N101" s="260">
        <f>N131*'Pomocná data V. PAF'!O126</f>
        <v>360.0532454</v>
      </c>
      <c r="O101" s="260">
        <f>O131*'Pomocná data V. PAF'!P126</f>
        <v>4399.768392</v>
      </c>
      <c r="P101" s="260">
        <f>P131*'Pomocná data V. PAF'!Q126</f>
        <v>181.2408875</v>
      </c>
      <c r="Q101" s="260">
        <f>Q131*'Pomocná data V. PAF'!R126</f>
        <v>1501.688448</v>
      </c>
      <c r="R101" s="260">
        <f>R131*'Pomocná data V. PAF'!S126</f>
        <v>1207.420174</v>
      </c>
      <c r="S101" s="260">
        <f>S131*'Pomocná data V. PAF'!T126</f>
        <v>143.5819209</v>
      </c>
      <c r="T101" s="260">
        <f>T131*'Pomocná data V. PAF'!U126</f>
        <v>360.7266351</v>
      </c>
      <c r="U101" s="260">
        <f>U131*'Pomocná data V. PAF'!V126</f>
        <v>15185.16712</v>
      </c>
      <c r="V101" s="261">
        <f t="shared" si="26"/>
        <v>365445.5328</v>
      </c>
      <c r="W101" s="198"/>
      <c r="X101" s="198"/>
      <c r="Y101" s="36"/>
      <c r="Z101" s="36"/>
      <c r="AA101" s="36"/>
      <c r="AB101" s="36"/>
      <c r="AC101" s="266"/>
      <c r="AD101" s="266"/>
      <c r="AE101" s="39"/>
      <c r="AF101" s="39"/>
      <c r="AG101" s="39"/>
    </row>
    <row r="102" ht="15.75" customHeight="1">
      <c r="A102" s="243" t="s">
        <v>395</v>
      </c>
      <c r="B102" s="260">
        <f>B132*'Pomocná data V. PAF'!C127</f>
        <v>6661.157991</v>
      </c>
      <c r="C102" s="260">
        <f>C132*'Pomocná data V. PAF'!D127</f>
        <v>315198.2508</v>
      </c>
      <c r="D102" s="260">
        <f>D132*'Pomocná data V. PAF'!E127</f>
        <v>5522.478417</v>
      </c>
      <c r="E102" s="260">
        <f>E132*'Pomocná data V. PAF'!F127</f>
        <v>6796.636151</v>
      </c>
      <c r="F102" s="260">
        <f>F132*'Pomocná data V. PAF'!G127</f>
        <v>518.1608852</v>
      </c>
      <c r="G102" s="260">
        <f>G132*'Pomocná data V. PAF'!H127</f>
        <v>0</v>
      </c>
      <c r="H102" s="260">
        <f>H132*'Pomocná data V. PAF'!I127</f>
        <v>655.877735</v>
      </c>
      <c r="I102" s="260">
        <f>I132*'Pomocná data V. PAF'!J127</f>
        <v>18223</v>
      </c>
      <c r="J102" s="260">
        <f>J132*'Pomocná data V. PAF'!K127</f>
        <v>19107.19753</v>
      </c>
      <c r="K102" s="260">
        <f>K132*'Pomocná data V. PAF'!L127</f>
        <v>30509.33348</v>
      </c>
      <c r="L102" s="260">
        <f>L132*'Pomocná data V. PAF'!M127</f>
        <v>4400.037726</v>
      </c>
      <c r="M102" s="260">
        <f>M132*'Pomocná data V. PAF'!N127</f>
        <v>318.2394961</v>
      </c>
      <c r="N102" s="260">
        <f>N132*'Pomocná data V. PAF'!O127</f>
        <v>1423.348257</v>
      </c>
      <c r="O102" s="260">
        <f>O132*'Pomocná data V. PAF'!P127</f>
        <v>7470.997053</v>
      </c>
      <c r="P102" s="260">
        <f>P132*'Pomocná data V. PAF'!Q127</f>
        <v>304.0237983</v>
      </c>
      <c r="Q102" s="260">
        <f>Q132*'Pomocná data V. PAF'!R127</f>
        <v>1918.90462</v>
      </c>
      <c r="R102" s="260">
        <f>R132*'Pomocná data V. PAF'!S127</f>
        <v>1831.390078</v>
      </c>
      <c r="S102" s="260">
        <f>S132*'Pomocná data V. PAF'!T127</f>
        <v>129.7657323</v>
      </c>
      <c r="T102" s="260">
        <f>T132*'Pomocná data V. PAF'!U127</f>
        <v>456.748462</v>
      </c>
      <c r="U102" s="260">
        <f>U132*'Pomocná data V. PAF'!V127</f>
        <v>21743.91791</v>
      </c>
      <c r="V102" s="261">
        <f t="shared" si="26"/>
        <v>443189.4661</v>
      </c>
      <c r="W102" s="198"/>
      <c r="X102" s="198"/>
      <c r="Y102" s="36"/>
      <c r="Z102" s="36"/>
      <c r="AA102" s="36"/>
      <c r="AB102" s="36"/>
      <c r="AC102" s="266"/>
      <c r="AD102" s="266"/>
      <c r="AE102" s="39"/>
      <c r="AF102" s="39"/>
      <c r="AG102" s="39"/>
    </row>
    <row r="103" ht="15.75" customHeight="1">
      <c r="A103" s="243" t="s">
        <v>396</v>
      </c>
      <c r="B103" s="260">
        <f>B133*'Pomocná data V. PAF'!C128</f>
        <v>7810.943127</v>
      </c>
      <c r="C103" s="260">
        <f>C133*'Pomocná data V. PAF'!D128</f>
        <v>384941.7702</v>
      </c>
      <c r="D103" s="260">
        <f>D133*'Pomocná data V. PAF'!E128</f>
        <v>11948.32805</v>
      </c>
      <c r="E103" s="260">
        <f>E133*'Pomocná data V. PAF'!F128</f>
        <v>11856.10273</v>
      </c>
      <c r="F103" s="260">
        <f>F133*'Pomocná data V. PAF'!G128</f>
        <v>748.0105181</v>
      </c>
      <c r="G103" s="260">
        <f>G133*'Pomocná data V. PAF'!H128</f>
        <v>0</v>
      </c>
      <c r="H103" s="260">
        <f>H133*'Pomocná data V. PAF'!I128</f>
        <v>1628.138455</v>
      </c>
      <c r="I103" s="260">
        <f>I133*'Pomocná data V. PAF'!J128</f>
        <v>11336</v>
      </c>
      <c r="J103" s="260">
        <f>J133*'Pomocná data V. PAF'!K128</f>
        <v>21077.21849</v>
      </c>
      <c r="K103" s="260">
        <f>K133*'Pomocná data V. PAF'!L128</f>
        <v>61700.84722</v>
      </c>
      <c r="L103" s="260">
        <f>L133*'Pomocná data V. PAF'!M128</f>
        <v>3667.514557</v>
      </c>
      <c r="M103" s="260">
        <f>M133*'Pomocná data V. PAF'!N128</f>
        <v>281.4548221</v>
      </c>
      <c r="N103" s="260">
        <f>N133*'Pomocná data V. PAF'!O128</f>
        <v>2010.475222</v>
      </c>
      <c r="O103" s="260">
        <f>O133*'Pomocná data V. PAF'!P128</f>
        <v>8320.616212</v>
      </c>
      <c r="P103" s="260">
        <f>P133*'Pomocná data V. PAF'!Q128</f>
        <v>1357.902106</v>
      </c>
      <c r="Q103" s="260">
        <f>Q133*'Pomocná data V. PAF'!R128</f>
        <v>3520.268467</v>
      </c>
      <c r="R103" s="260">
        <f>R133*'Pomocná data V. PAF'!S128</f>
        <v>1926.871307</v>
      </c>
      <c r="S103" s="260">
        <f>S133*'Pomocná data V. PAF'!T128</f>
        <v>228.7549562</v>
      </c>
      <c r="T103" s="260">
        <f>T133*'Pomocná data V. PAF'!U128</f>
        <v>1204.399197</v>
      </c>
      <c r="U103" s="260">
        <f>U133*'Pomocná data V. PAF'!V128</f>
        <v>29691.86389</v>
      </c>
      <c r="V103" s="261">
        <f t="shared" si="26"/>
        <v>565257.4796</v>
      </c>
      <c r="W103" s="198"/>
      <c r="X103" s="198"/>
      <c r="Y103" s="36"/>
      <c r="Z103" s="36"/>
      <c r="AA103" s="36"/>
      <c r="AB103" s="36"/>
      <c r="AC103" s="266"/>
      <c r="AD103" s="266"/>
      <c r="AE103" s="39"/>
      <c r="AF103" s="39"/>
      <c r="AG103" s="39"/>
    </row>
    <row r="104" ht="15.75" customHeight="1">
      <c r="A104" s="243" t="s">
        <v>397</v>
      </c>
      <c r="B104" s="260">
        <f>B134*'Pomocná data V. PAF'!C129</f>
        <v>9960.222842</v>
      </c>
      <c r="C104" s="260">
        <f>C134*'Pomocná data V. PAF'!D129</f>
        <v>445976.652</v>
      </c>
      <c r="D104" s="260">
        <f>D134*'Pomocná data V. PAF'!E129</f>
        <v>10661.60723</v>
      </c>
      <c r="E104" s="260">
        <f>E134*'Pomocná data V. PAF'!F129</f>
        <v>20183.95992</v>
      </c>
      <c r="F104" s="260">
        <f>F134*'Pomocná data V. PAF'!G129</f>
        <v>796.5678596</v>
      </c>
      <c r="G104" s="260">
        <f>G134*'Pomocná data V. PAF'!H129</f>
        <v>0</v>
      </c>
      <c r="H104" s="260">
        <f>H134*'Pomocná data V. PAF'!I129</f>
        <v>1674.058961</v>
      </c>
      <c r="I104" s="260">
        <f>I134*'Pomocná data V. PAF'!J129</f>
        <v>10903</v>
      </c>
      <c r="J104" s="260">
        <f>J134*'Pomocná data V. PAF'!K129</f>
        <v>22986.14374</v>
      </c>
      <c r="K104" s="260">
        <f>K134*'Pomocná data V. PAF'!L129</f>
        <v>104461.3614</v>
      </c>
      <c r="L104" s="260">
        <f>L134*'Pomocná data V. PAF'!M129</f>
        <v>3441.430297</v>
      </c>
      <c r="M104" s="260">
        <f>M134*'Pomocná data V. PAF'!N129</f>
        <v>1048.820183</v>
      </c>
      <c r="N104" s="260">
        <f>N134*'Pomocná data V. PAF'!O129</f>
        <v>2916.401716</v>
      </c>
      <c r="O104" s="260">
        <f>O134*'Pomocná data V. PAF'!P129</f>
        <v>8560.684274</v>
      </c>
      <c r="P104" s="260">
        <f>P134*'Pomocná data V. PAF'!Q129</f>
        <v>2243.614486</v>
      </c>
      <c r="Q104" s="260">
        <f>Q134*'Pomocná data V. PAF'!R129</f>
        <v>3426.885776</v>
      </c>
      <c r="R104" s="260">
        <f>R134*'Pomocná data V. PAF'!S129</f>
        <v>2136.392338</v>
      </c>
      <c r="S104" s="260">
        <f>S134*'Pomocná data V. PAF'!T129</f>
        <v>625.6908345</v>
      </c>
      <c r="T104" s="260">
        <f>T134*'Pomocná data V. PAF'!U129</f>
        <v>1848.028864</v>
      </c>
      <c r="U104" s="260">
        <f>U134*'Pomocná data V. PAF'!V129</f>
        <v>35749.34786</v>
      </c>
      <c r="V104" s="261">
        <f t="shared" si="26"/>
        <v>689600.8706</v>
      </c>
      <c r="W104" s="198"/>
      <c r="X104" s="198"/>
      <c r="Y104" s="36"/>
      <c r="Z104" s="36"/>
      <c r="AA104" s="36"/>
      <c r="AB104" s="36"/>
      <c r="AC104" s="36"/>
      <c r="AD104" s="36"/>
      <c r="AE104" s="39"/>
      <c r="AF104" s="39"/>
      <c r="AG104" s="39"/>
    </row>
    <row r="105" ht="15.75" customHeight="1">
      <c r="A105" s="243" t="s">
        <v>398</v>
      </c>
      <c r="B105" s="260">
        <f>B135*'Pomocná data V. PAF'!C130</f>
        <v>3066.484928</v>
      </c>
      <c r="C105" s="260">
        <f>C135*'Pomocná data V. PAF'!D130</f>
        <v>139611.7845</v>
      </c>
      <c r="D105" s="260">
        <f>D135*'Pomocná data V. PAF'!E130</f>
        <v>3628.456795</v>
      </c>
      <c r="E105" s="260">
        <f>E135*'Pomocná data V. PAF'!F130</f>
        <v>8332.646839</v>
      </c>
      <c r="F105" s="260">
        <f>F135*'Pomocná data V. PAF'!G130</f>
        <v>662.8966914</v>
      </c>
      <c r="G105" s="260">
        <f>G135*'Pomocná data V. PAF'!H130</f>
        <v>0</v>
      </c>
      <c r="H105" s="260">
        <f>H135*'Pomocná data V. PAF'!I130</f>
        <v>589.1410515</v>
      </c>
      <c r="I105" s="260">
        <f>I135*'Pomocná data V. PAF'!J130</f>
        <v>2024</v>
      </c>
      <c r="J105" s="260">
        <f>J135*'Pomocná data V. PAF'!K130</f>
        <v>6261.473528</v>
      </c>
      <c r="K105" s="260">
        <f>K135*'Pomocná data V. PAF'!L130</f>
        <v>41207.42899</v>
      </c>
      <c r="L105" s="260">
        <f>L135*'Pomocná data V. PAF'!M130</f>
        <v>2211.240595</v>
      </c>
      <c r="M105" s="260">
        <f>M135*'Pomocná data V. PAF'!N130</f>
        <v>249.0892825</v>
      </c>
      <c r="N105" s="260">
        <f>N135*'Pomocná data V. PAF'!O130</f>
        <v>2150.015645</v>
      </c>
      <c r="O105" s="260">
        <f>O135*'Pomocná data V. PAF'!P130</f>
        <v>3994.930996</v>
      </c>
      <c r="P105" s="260">
        <f>P135*'Pomocná data V. PAF'!Q130</f>
        <v>1094.281542</v>
      </c>
      <c r="Q105" s="260">
        <f>Q135*'Pomocná data V. PAF'!R130</f>
        <v>2534.174345</v>
      </c>
      <c r="R105" s="260">
        <f>R135*'Pomocná data V. PAF'!S130</f>
        <v>1189.768112</v>
      </c>
      <c r="S105" s="260">
        <f>S135*'Pomocná data V. PAF'!T130</f>
        <v>374.1504788</v>
      </c>
      <c r="T105" s="260">
        <f>T135*'Pomocná data V. PAF'!U130</f>
        <v>1524.952143</v>
      </c>
      <c r="U105" s="260">
        <f>U135*'Pomocná data V. PAF'!V130</f>
        <v>14227.80814</v>
      </c>
      <c r="V105" s="261">
        <f t="shared" si="26"/>
        <v>234934.7246</v>
      </c>
      <c r="W105" s="198"/>
      <c r="X105" s="198"/>
      <c r="Y105" s="36"/>
      <c r="Z105" s="36"/>
      <c r="AA105" s="36"/>
      <c r="AB105" s="36"/>
      <c r="AC105" s="36"/>
      <c r="AD105" s="36"/>
      <c r="AE105" s="39"/>
      <c r="AF105" s="39"/>
      <c r="AG105" s="39"/>
    </row>
    <row r="106" ht="15.75" customHeight="1">
      <c r="A106" s="243" t="s">
        <v>399</v>
      </c>
      <c r="B106" s="260">
        <f>B136*'Pomocná data V. PAF'!C131</f>
        <v>535.1764567</v>
      </c>
      <c r="C106" s="260">
        <f>C136*'Pomocná data V. PAF'!D131</f>
        <v>13732.87486</v>
      </c>
      <c r="D106" s="260">
        <f>D136*'Pomocná data V. PAF'!E131</f>
        <v>335.9468786</v>
      </c>
      <c r="E106" s="260">
        <f>E136*'Pomocná data V. PAF'!F131</f>
        <v>2187.706378</v>
      </c>
      <c r="F106" s="260">
        <f>F136*'Pomocná data V. PAF'!G131</f>
        <v>30.61405927</v>
      </c>
      <c r="G106" s="260">
        <f>G136*'Pomocná data V. PAF'!H131</f>
        <v>0</v>
      </c>
      <c r="H106" s="260">
        <f>H136*'Pomocná data V. PAF'!I131</f>
        <v>287.967154</v>
      </c>
      <c r="I106" s="260">
        <f>I136*'Pomocná data V. PAF'!J131</f>
        <v>88</v>
      </c>
      <c r="J106" s="260">
        <f>J136*'Pomocná data V. PAF'!K131</f>
        <v>1688.83718</v>
      </c>
      <c r="K106" s="260">
        <f>K136*'Pomocná data V. PAF'!L131</f>
        <v>8803.072322</v>
      </c>
      <c r="L106" s="260">
        <f>L136*'Pomocná data V. PAF'!M131</f>
        <v>688.8759577</v>
      </c>
      <c r="M106" s="260">
        <f>M136*'Pomocná data V. PAF'!N131</f>
        <v>22.37995825</v>
      </c>
      <c r="N106" s="260">
        <f>N136*'Pomocná data V. PAF'!O131</f>
        <v>344.4826398</v>
      </c>
      <c r="O106" s="260">
        <f>O136*'Pomocná data V. PAF'!P131</f>
        <v>552.2628239</v>
      </c>
      <c r="P106" s="260">
        <f>P136*'Pomocná data V. PAF'!Q131</f>
        <v>252.8317191</v>
      </c>
      <c r="Q106" s="260">
        <f>Q136*'Pomocná data V. PAF'!R131</f>
        <v>521.7068722</v>
      </c>
      <c r="R106" s="260">
        <f>R136*'Pomocná data V. PAF'!S131</f>
        <v>210.1216985</v>
      </c>
      <c r="S106" s="260">
        <f>S136*'Pomocná data V. PAF'!T131</f>
        <v>39.85592011</v>
      </c>
      <c r="T106" s="260">
        <f>T136*'Pomocná data V. PAF'!U131</f>
        <v>469.1936162</v>
      </c>
      <c r="U106" s="260">
        <f>U136*'Pomocná data V. PAF'!V131</f>
        <v>2185.603768</v>
      </c>
      <c r="V106" s="261">
        <f t="shared" si="26"/>
        <v>32977.51026</v>
      </c>
      <c r="W106" s="198"/>
      <c r="X106" s="198"/>
      <c r="Y106" s="36"/>
      <c r="Z106" s="36"/>
      <c r="AA106" s="36"/>
      <c r="AB106" s="36"/>
      <c r="AC106" s="36"/>
      <c r="AD106" s="36"/>
      <c r="AE106" s="39"/>
      <c r="AF106" s="39"/>
      <c r="AG106" s="39"/>
    </row>
    <row r="107" ht="15.75" customHeight="1">
      <c r="A107" s="262" t="s">
        <v>68</v>
      </c>
      <c r="B107" s="263">
        <f t="shared" ref="B107:V107" si="27">SUM(B98:B106)</f>
        <v>38403.7178</v>
      </c>
      <c r="C107" s="263">
        <f t="shared" si="27"/>
        <v>1826858.045</v>
      </c>
      <c r="D107" s="263">
        <f t="shared" si="27"/>
        <v>39560.99352</v>
      </c>
      <c r="E107" s="263">
        <f t="shared" si="27"/>
        <v>55101.37106</v>
      </c>
      <c r="F107" s="263">
        <f t="shared" si="27"/>
        <v>3649.435431</v>
      </c>
      <c r="G107" s="263">
        <f t="shared" si="27"/>
        <v>0</v>
      </c>
      <c r="H107" s="263">
        <f t="shared" si="27"/>
        <v>5601.197985</v>
      </c>
      <c r="I107" s="263">
        <f t="shared" si="27"/>
        <v>88927</v>
      </c>
      <c r="J107" s="263">
        <f t="shared" si="27"/>
        <v>109796.1754</v>
      </c>
      <c r="K107" s="263">
        <f t="shared" si="27"/>
        <v>271250.9632</v>
      </c>
      <c r="L107" s="263">
        <f t="shared" si="27"/>
        <v>19660.92882</v>
      </c>
      <c r="M107" s="263">
        <f t="shared" si="27"/>
        <v>2084.246299</v>
      </c>
      <c r="N107" s="263">
        <f t="shared" si="27"/>
        <v>9563.529287</v>
      </c>
      <c r="O107" s="263">
        <f t="shared" si="27"/>
        <v>35915.2697</v>
      </c>
      <c r="P107" s="263">
        <f t="shared" si="27"/>
        <v>5720.531369</v>
      </c>
      <c r="Q107" s="263">
        <f t="shared" si="27"/>
        <v>14233.50726</v>
      </c>
      <c r="R107" s="263">
        <f t="shared" si="27"/>
        <v>9572.150855</v>
      </c>
      <c r="S107" s="263">
        <f t="shared" si="27"/>
        <v>1582.398457</v>
      </c>
      <c r="T107" s="263">
        <f t="shared" si="27"/>
        <v>6192.69961</v>
      </c>
      <c r="U107" s="263">
        <f t="shared" si="27"/>
        <v>127716.7636</v>
      </c>
      <c r="V107" s="264">
        <f t="shared" si="27"/>
        <v>2671390.925</v>
      </c>
      <c r="W107" s="198"/>
      <c r="X107" s="198"/>
      <c r="Y107" s="36"/>
      <c r="Z107" s="36"/>
      <c r="AA107" s="36"/>
      <c r="AB107" s="36"/>
      <c r="AC107" s="36"/>
      <c r="AD107" s="36"/>
      <c r="AE107" s="39"/>
      <c r="AF107" s="39"/>
      <c r="AG107" s="39"/>
    </row>
    <row r="108" ht="15.75" customHeight="1">
      <c r="U108" s="198"/>
      <c r="V108" s="198"/>
      <c r="X108" s="205"/>
      <c r="Y108" s="39"/>
      <c r="Z108" s="251"/>
      <c r="AA108" s="39"/>
      <c r="AB108" s="251"/>
      <c r="AC108" s="39"/>
      <c r="AD108" s="251"/>
      <c r="AE108" s="39"/>
      <c r="AF108" s="39"/>
      <c r="AG108" s="39"/>
    </row>
    <row r="109" ht="15.75" customHeight="1">
      <c r="A109" s="268" t="s">
        <v>421</v>
      </c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X109" s="205" t="s">
        <v>394</v>
      </c>
      <c r="Y109" s="39">
        <v>333629.3550026408</v>
      </c>
      <c r="Z109" s="251">
        <v>330132.6740093085</v>
      </c>
      <c r="AA109" s="39">
        <f>Y109/30.5*'Pomocná data IV.Mzdy a další př'!C9</f>
        <v>453834370.8</v>
      </c>
      <c r="AB109" s="251">
        <f>Z109/30.5*'Pomocná data IV.Mzdy a další př'!D9</f>
        <v>326452506.5</v>
      </c>
      <c r="AC109" s="39">
        <f>(Y109/30.5)*'Pomocná data IV.Mzdy a další př'!E9</f>
        <v>608138056.9</v>
      </c>
      <c r="AD109" s="251">
        <f>(Z109/30.5)*'Pomocná data IV.Mzdy a další př'!F9</f>
        <v>437446358.7</v>
      </c>
      <c r="AE109" s="39">
        <f>(Y109/30.5)*'Pomocná data IV.Mzdy a další př'!G9</f>
        <v>666030398.5</v>
      </c>
      <c r="AF109" s="39">
        <f>(Z109/30.5)*'Pomocná data IV.Mzdy a další př'!H9</f>
        <v>523374739.6</v>
      </c>
      <c r="AG109" s="39"/>
    </row>
    <row r="110" ht="15.75" customHeight="1">
      <c r="A110" s="269" t="s">
        <v>422</v>
      </c>
      <c r="B110" s="270"/>
      <c r="C110" s="270"/>
      <c r="D110" s="270"/>
      <c r="E110" s="270"/>
      <c r="F110" s="270"/>
      <c r="G110" s="270"/>
      <c r="X110" s="205" t="s">
        <v>395</v>
      </c>
      <c r="Y110" s="39">
        <v>380028.78124902426</v>
      </c>
      <c r="Z110" s="251">
        <v>351008.2327634245</v>
      </c>
      <c r="AA110" s="39">
        <f>Y110/30.5*'Pomocná data IV.Mzdy a další př'!C10</f>
        <v>498560381.1</v>
      </c>
      <c r="AB110" s="251">
        <f>Z110/30.5*'Pomocná data IV.Mzdy a další př'!D10</f>
        <v>342986831.5</v>
      </c>
      <c r="AC110" s="39">
        <f>(Y110/30.5)*'Pomocná data IV.Mzdy a další př'!E10</f>
        <v>668070910.7</v>
      </c>
      <c r="AD110" s="251">
        <f>(Z110/30.5)*'Pomocná data IV.Mzdy a další př'!F10</f>
        <v>459602354.2</v>
      </c>
      <c r="AE110" s="39">
        <f>(Y110/30.5)*'Pomocná data IV.Mzdy a další př'!G10</f>
        <v>734014616.5</v>
      </c>
      <c r="AF110" s="39">
        <f>(Z110/30.5)*'Pomocná data IV.Mzdy a další př'!H10</f>
        <v>550964317.2</v>
      </c>
      <c r="AG110" s="39"/>
    </row>
    <row r="111" ht="15.75" customHeight="1">
      <c r="A111" s="222" t="s">
        <v>404</v>
      </c>
      <c r="B111" s="223" t="s">
        <v>288</v>
      </c>
      <c r="C111" s="223" t="s">
        <v>405</v>
      </c>
      <c r="D111" s="223" t="s">
        <v>292</v>
      </c>
      <c r="E111" s="223" t="s">
        <v>294</v>
      </c>
      <c r="F111" s="223" t="s">
        <v>296</v>
      </c>
      <c r="G111" s="223" t="s">
        <v>298</v>
      </c>
      <c r="H111" s="223" t="s">
        <v>300</v>
      </c>
      <c r="I111" s="223" t="s">
        <v>89</v>
      </c>
      <c r="J111" s="223" t="s">
        <v>303</v>
      </c>
      <c r="K111" s="223" t="s">
        <v>305</v>
      </c>
      <c r="L111" s="223" t="s">
        <v>307</v>
      </c>
      <c r="M111" s="223" t="s">
        <v>406</v>
      </c>
      <c r="N111" s="223" t="s">
        <v>311</v>
      </c>
      <c r="O111" s="223" t="s">
        <v>313</v>
      </c>
      <c r="P111" s="223" t="s">
        <v>315</v>
      </c>
      <c r="Q111" s="223" t="s">
        <v>407</v>
      </c>
      <c r="R111" s="223" t="s">
        <v>319</v>
      </c>
      <c r="S111" s="223" t="s">
        <v>321</v>
      </c>
      <c r="T111" s="223" t="s">
        <v>323</v>
      </c>
      <c r="U111" s="241" t="s">
        <v>408</v>
      </c>
      <c r="V111" s="13"/>
      <c r="W111" s="13"/>
      <c r="X111" s="205" t="s">
        <v>396</v>
      </c>
      <c r="Y111" s="39">
        <v>519536.90587540914</v>
      </c>
      <c r="Z111" s="251">
        <v>521401.1761804308</v>
      </c>
      <c r="AA111" s="39">
        <f>Y111/30.5*'Pomocná data IV.Mzdy a další př'!C11</f>
        <v>644873055.2</v>
      </c>
      <c r="AB111" s="251">
        <f>Z111/30.5*'Pomocná data IV.Mzdy a další př'!D11</f>
        <v>511280864.8</v>
      </c>
      <c r="AC111" s="39">
        <f>(Y111/30.5)*'Pomocná data IV.Mzdy a další př'!E11</f>
        <v>864129893.9</v>
      </c>
      <c r="AD111" s="251">
        <f>(Z111/30.5)*'Pomocná data IV.Mzdy a další př'!F11</f>
        <v>685116358.9</v>
      </c>
      <c r="AE111" s="39">
        <f>(Y111/30.5)*'Pomocná data IV.Mzdy a další př'!G11</f>
        <v>954281457.5</v>
      </c>
      <c r="AF111" s="39">
        <f>(Z111/30.5)*'Pomocná data IV.Mzdy a další př'!H11</f>
        <v>820828944.8</v>
      </c>
      <c r="AG111" s="39"/>
    </row>
    <row r="112" ht="15.75" customHeight="1">
      <c r="A112" s="231" t="s">
        <v>417</v>
      </c>
      <c r="B112" s="271">
        <v>221.0</v>
      </c>
      <c r="C112" s="271">
        <v>18487.0</v>
      </c>
      <c r="D112" s="271">
        <v>104.0</v>
      </c>
      <c r="E112" s="271">
        <v>49.0</v>
      </c>
      <c r="F112" s="271">
        <v>0.0</v>
      </c>
      <c r="G112" s="271">
        <v>1.0</v>
      </c>
      <c r="H112" s="271">
        <v>0.0</v>
      </c>
      <c r="I112" s="271">
        <v>0.0</v>
      </c>
      <c r="J112" s="271">
        <v>70.0</v>
      </c>
      <c r="K112" s="271">
        <v>272.0</v>
      </c>
      <c r="L112" s="271">
        <v>187.0</v>
      </c>
      <c r="M112" s="271">
        <v>0.0</v>
      </c>
      <c r="N112" s="271">
        <v>0.0</v>
      </c>
      <c r="O112" s="271">
        <v>0.0</v>
      </c>
      <c r="P112" s="271">
        <v>0.0</v>
      </c>
      <c r="Q112" s="271">
        <v>56.0</v>
      </c>
      <c r="R112" s="271">
        <v>0.0</v>
      </c>
      <c r="S112" s="271">
        <v>0.0</v>
      </c>
      <c r="T112" s="271">
        <v>0.0</v>
      </c>
      <c r="U112" s="272">
        <v>891.0</v>
      </c>
      <c r="X112" s="205" t="s">
        <v>397</v>
      </c>
      <c r="Y112" s="39">
        <v>518502.4266367082</v>
      </c>
      <c r="Z112" s="251">
        <v>583444.8427060092</v>
      </c>
      <c r="AA112" s="39">
        <f>Y112/30.5*'Pomocná data IV.Mzdy a další př'!C12</f>
        <v>605253832.6</v>
      </c>
      <c r="AB112" s="251">
        <f>Z112/30.5*'Pomocná data IV.Mzdy a další př'!D12</f>
        <v>562364311</v>
      </c>
      <c r="AC112" s="39">
        <f>(Y112/30.5)*'Pomocná data IV.Mzdy a další př'!E12</f>
        <v>811040135.7</v>
      </c>
      <c r="AD112" s="251">
        <f>(Z112/30.5)*'Pomocná data IV.Mzdy a další př'!F12</f>
        <v>753568176.8</v>
      </c>
      <c r="AE112" s="39">
        <f>(Y112/30.5)*'Pomocná data IV.Mzdy a další př'!G12</f>
        <v>901012193.5</v>
      </c>
      <c r="AF112" s="39">
        <f>(Z112/30.5)*'Pomocná data IV.Mzdy a další př'!H12</f>
        <v>905429760.4</v>
      </c>
      <c r="AG112" s="39"/>
    </row>
    <row r="113" ht="15.75" customHeight="1">
      <c r="A113" s="205" t="s">
        <v>418</v>
      </c>
      <c r="B113" s="271">
        <v>4364.0</v>
      </c>
      <c r="C113" s="271">
        <v>176817.0</v>
      </c>
      <c r="D113" s="271">
        <v>683.0</v>
      </c>
      <c r="E113" s="271">
        <v>797.0</v>
      </c>
      <c r="F113" s="271">
        <v>1100.0</v>
      </c>
      <c r="G113" s="271">
        <v>383.0</v>
      </c>
      <c r="H113" s="271">
        <v>104.0</v>
      </c>
      <c r="I113" s="271">
        <v>268.0</v>
      </c>
      <c r="J113" s="271">
        <v>2385.0</v>
      </c>
      <c r="K113" s="271">
        <v>8880.0</v>
      </c>
      <c r="L113" s="271">
        <v>558.0</v>
      </c>
      <c r="M113" s="271">
        <v>0.0</v>
      </c>
      <c r="N113" s="271">
        <v>0.0</v>
      </c>
      <c r="O113" s="271">
        <v>66.0</v>
      </c>
      <c r="P113" s="271">
        <v>58.0</v>
      </c>
      <c r="Q113" s="271">
        <v>2423.0</v>
      </c>
      <c r="R113" s="271">
        <v>0.0</v>
      </c>
      <c r="S113" s="271">
        <v>0.0</v>
      </c>
      <c r="T113" s="271">
        <v>100.0</v>
      </c>
      <c r="U113" s="272">
        <v>5739.0</v>
      </c>
      <c r="X113" s="205" t="s">
        <v>398</v>
      </c>
      <c r="Y113" s="39">
        <v>736440.1994248283</v>
      </c>
      <c r="Z113" s="251">
        <v>235639.09329943437</v>
      </c>
      <c r="AA113" s="39">
        <f>Y113/30.5*'Pomocná data IV.Mzdy a další př'!C13</f>
        <v>845988697.3</v>
      </c>
      <c r="AB113" s="251">
        <f>Z113/30.5*'Pomocná data IV.Mzdy a další př'!D13</f>
        <v>249321612.5</v>
      </c>
      <c r="AC113" s="39">
        <f>(Y113/30.5)*'Pomocná data IV.Mzdy a další př'!E13</f>
        <v>1133624854</v>
      </c>
      <c r="AD113" s="251">
        <f>(Z113/30.5)*'Pomocná data IV.Mzdy a další př'!F13</f>
        <v>334090960.7</v>
      </c>
      <c r="AE113" s="39">
        <f>(Y113/30.5)*'Pomocná data IV.Mzdy a další př'!G13</f>
        <v>1261414112</v>
      </c>
      <c r="AF113" s="39">
        <f>(Z113/30.5)*'Pomocná data IV.Mzdy a další př'!H13</f>
        <v>395424137.8</v>
      </c>
      <c r="AG113" s="39"/>
    </row>
    <row r="114" ht="15.75" customHeight="1">
      <c r="A114" s="205" t="s">
        <v>391</v>
      </c>
      <c r="B114" s="271">
        <v>6954.0</v>
      </c>
      <c r="C114" s="271">
        <v>283319.0</v>
      </c>
      <c r="D114" s="271">
        <v>2124.0</v>
      </c>
      <c r="E114" s="271">
        <v>1929.0</v>
      </c>
      <c r="F114" s="271">
        <v>1462.0</v>
      </c>
      <c r="G114" s="271">
        <v>482.0</v>
      </c>
      <c r="H114" s="271">
        <v>627.0</v>
      </c>
      <c r="I114" s="271">
        <v>3028.0</v>
      </c>
      <c r="J114" s="271">
        <v>4284.0</v>
      </c>
      <c r="K114" s="271">
        <v>17217.0</v>
      </c>
      <c r="L114" s="271">
        <v>1426.0</v>
      </c>
      <c r="M114" s="271">
        <v>0.0</v>
      </c>
      <c r="N114" s="271">
        <v>320.0</v>
      </c>
      <c r="O114" s="271">
        <v>16.0</v>
      </c>
      <c r="P114" s="271">
        <v>0.0</v>
      </c>
      <c r="Q114" s="271">
        <v>287.0</v>
      </c>
      <c r="R114" s="271">
        <v>0.0</v>
      </c>
      <c r="S114" s="271">
        <v>14.0</v>
      </c>
      <c r="T114" s="271">
        <v>752.0</v>
      </c>
      <c r="U114" s="272">
        <v>8654.0</v>
      </c>
      <c r="X114" s="210" t="s">
        <v>399</v>
      </c>
      <c r="Y114" s="273">
        <v>50457.082210283814</v>
      </c>
      <c r="Z114" s="274">
        <v>25202.099213215155</v>
      </c>
      <c r="AA114" s="39">
        <f>Y114/30.5*'Pomocná data IV.Mzdy a další př'!C14</f>
        <v>60899216.73</v>
      </c>
      <c r="AB114" s="251">
        <f>Z114/30.5*'Pomocná data IV.Mzdy a další př'!D14</f>
        <v>25015355.79</v>
      </c>
      <c r="AC114" s="273">
        <f>(Y114/30.5)*'Pomocná data IV.Mzdy a další př'!E14</f>
        <v>81604950.42</v>
      </c>
      <c r="AD114" s="274">
        <f>(Z114/30.5)*'Pomocná data IV.Mzdy a další př'!F14</f>
        <v>33520576.76</v>
      </c>
      <c r="AE114" s="39">
        <f>(Y114/30.5)*'Pomocná data IV.Mzdy a další př'!G14</f>
        <v>90360410.92</v>
      </c>
      <c r="AF114" s="39">
        <f>(Z114/30.5)*'Pomocná data IV.Mzdy a další př'!H14</f>
        <v>40080289.72</v>
      </c>
      <c r="AG114" s="39"/>
    </row>
    <row r="115" ht="15.75" customHeight="1">
      <c r="A115" s="205" t="s">
        <v>392</v>
      </c>
      <c r="B115" s="271">
        <v>8360.0</v>
      </c>
      <c r="C115" s="271">
        <v>345670.0</v>
      </c>
      <c r="D115" s="271">
        <v>2329.0</v>
      </c>
      <c r="E115" s="271">
        <v>5725.0</v>
      </c>
      <c r="F115" s="271">
        <v>2241.0</v>
      </c>
      <c r="G115" s="271">
        <v>751.0</v>
      </c>
      <c r="H115" s="271">
        <v>1231.0</v>
      </c>
      <c r="I115" s="271">
        <v>1220.0</v>
      </c>
      <c r="J115" s="271">
        <v>6826.0</v>
      </c>
      <c r="K115" s="271">
        <v>22088.0</v>
      </c>
      <c r="L115" s="271">
        <v>2390.0</v>
      </c>
      <c r="M115" s="271">
        <v>0.0</v>
      </c>
      <c r="N115" s="271">
        <v>1553.0</v>
      </c>
      <c r="O115" s="271">
        <v>883.0</v>
      </c>
      <c r="P115" s="271">
        <v>191.0</v>
      </c>
      <c r="Q115" s="271">
        <v>795.0</v>
      </c>
      <c r="R115" s="271">
        <v>0.0</v>
      </c>
      <c r="S115" s="271">
        <v>0.0</v>
      </c>
      <c r="T115" s="271">
        <v>605.0</v>
      </c>
      <c r="U115" s="272">
        <v>13693.0</v>
      </c>
      <c r="X115" s="15" t="s">
        <v>68</v>
      </c>
      <c r="Y115" s="275">
        <f t="shared" ref="Y115:AF115" si="28">SUM(Y49:Y114)</f>
        <v>2696290.522</v>
      </c>
      <c r="Z115" s="276">
        <f t="shared" si="28"/>
        <v>2212475.721</v>
      </c>
      <c r="AA115" s="275">
        <f t="shared" si="28"/>
        <v>3280938480</v>
      </c>
      <c r="AB115" s="276">
        <f t="shared" si="28"/>
        <v>2171639670</v>
      </c>
      <c r="AC115" s="277">
        <f t="shared" si="28"/>
        <v>4396457563</v>
      </c>
      <c r="AD115" s="278">
        <f t="shared" si="28"/>
        <v>2909997158</v>
      </c>
      <c r="AE115" s="278">
        <f t="shared" si="28"/>
        <v>4864325781</v>
      </c>
      <c r="AF115" s="278">
        <f t="shared" si="28"/>
        <v>3485870047</v>
      </c>
      <c r="AG115" s="13"/>
    </row>
    <row r="116" ht="15.75" customHeight="1">
      <c r="A116" s="205" t="s">
        <v>393</v>
      </c>
      <c r="B116" s="271">
        <v>7548.0</v>
      </c>
      <c r="C116" s="271">
        <v>460958.0</v>
      </c>
      <c r="D116" s="271">
        <v>5191.0</v>
      </c>
      <c r="E116" s="271">
        <v>14825.0</v>
      </c>
      <c r="F116" s="271">
        <v>959.0</v>
      </c>
      <c r="G116" s="271">
        <v>1697.0</v>
      </c>
      <c r="H116" s="271">
        <v>967.0</v>
      </c>
      <c r="I116" s="271">
        <v>6233.0</v>
      </c>
      <c r="J116" s="271">
        <v>11776.0</v>
      </c>
      <c r="K116" s="271">
        <v>44902.0</v>
      </c>
      <c r="L116" s="271">
        <v>3822.0</v>
      </c>
      <c r="M116" s="271">
        <v>0.0</v>
      </c>
      <c r="N116" s="271">
        <v>2500.0</v>
      </c>
      <c r="O116" s="271">
        <v>13.0</v>
      </c>
      <c r="P116" s="271">
        <v>94.0</v>
      </c>
      <c r="Q116" s="271">
        <v>8583.0</v>
      </c>
      <c r="R116" s="271">
        <v>0.0</v>
      </c>
      <c r="S116" s="271">
        <v>0.0</v>
      </c>
      <c r="T116" s="271">
        <v>884.0</v>
      </c>
      <c r="U116" s="272">
        <v>21797.0</v>
      </c>
      <c r="X116" s="15" t="s">
        <v>400</v>
      </c>
      <c r="Y116" s="275">
        <f t="shared" ref="Y116:AF116" si="29">SUM(Y51:Y113)</f>
        <v>2615906.216</v>
      </c>
      <c r="Z116" s="276">
        <f t="shared" si="29"/>
        <v>2153832.085</v>
      </c>
      <c r="AA116" s="275">
        <f t="shared" si="29"/>
        <v>3194648096</v>
      </c>
      <c r="AB116" s="276">
        <f t="shared" si="29"/>
        <v>2121166977</v>
      </c>
      <c r="AC116" s="277">
        <f t="shared" si="29"/>
        <v>4280828449</v>
      </c>
      <c r="AD116" s="278">
        <f t="shared" si="29"/>
        <v>2842363750</v>
      </c>
      <c r="AE116" s="278">
        <f t="shared" si="29"/>
        <v>4734748147</v>
      </c>
      <c r="AF116" s="278">
        <f t="shared" si="29"/>
        <v>3402972615</v>
      </c>
      <c r="AG116" s="137"/>
    </row>
    <row r="117" ht="15.75" customHeight="1">
      <c r="A117" s="205" t="s">
        <v>394</v>
      </c>
      <c r="B117" s="271">
        <v>12328.0</v>
      </c>
      <c r="C117" s="271">
        <v>615798.0</v>
      </c>
      <c r="D117" s="271">
        <v>10464.0</v>
      </c>
      <c r="E117" s="271">
        <v>34215.0</v>
      </c>
      <c r="F117" s="271">
        <v>4135.0</v>
      </c>
      <c r="G117" s="271">
        <v>2108.0</v>
      </c>
      <c r="H117" s="271">
        <v>3318.0</v>
      </c>
      <c r="I117" s="271">
        <v>11742.0</v>
      </c>
      <c r="J117" s="271">
        <v>19410.0</v>
      </c>
      <c r="K117" s="271">
        <v>83559.0</v>
      </c>
      <c r="L117" s="271">
        <v>6669.0</v>
      </c>
      <c r="M117" s="271">
        <v>0.0</v>
      </c>
      <c r="N117" s="271">
        <v>4997.0</v>
      </c>
      <c r="O117" s="271">
        <v>205.0</v>
      </c>
      <c r="P117" s="271">
        <v>2192.0</v>
      </c>
      <c r="Q117" s="271">
        <v>5443.0</v>
      </c>
      <c r="R117" s="271">
        <v>0.0</v>
      </c>
      <c r="S117" s="271">
        <v>88.0</v>
      </c>
      <c r="T117" s="271">
        <v>6898.0</v>
      </c>
      <c r="U117" s="272">
        <v>45141.0</v>
      </c>
    </row>
    <row r="118" ht="15.75" customHeight="1">
      <c r="A118" s="205" t="s">
        <v>395</v>
      </c>
      <c r="B118" s="271">
        <v>12409.0</v>
      </c>
      <c r="C118" s="271">
        <v>574841.0</v>
      </c>
      <c r="D118" s="271">
        <v>16062.0</v>
      </c>
      <c r="E118" s="271">
        <v>63785.0</v>
      </c>
      <c r="F118" s="271">
        <v>6486.0</v>
      </c>
      <c r="G118" s="271">
        <v>5187.0</v>
      </c>
      <c r="H118" s="271">
        <v>6464.0</v>
      </c>
      <c r="I118" s="271">
        <v>6912.0</v>
      </c>
      <c r="J118" s="271">
        <v>19382.0</v>
      </c>
      <c r="K118" s="271">
        <v>131868.0</v>
      </c>
      <c r="L118" s="271">
        <v>10284.0</v>
      </c>
      <c r="M118" s="271">
        <v>0.0</v>
      </c>
      <c r="N118" s="271">
        <v>6580.0</v>
      </c>
      <c r="O118" s="271">
        <v>0.0</v>
      </c>
      <c r="P118" s="271">
        <v>4736.0</v>
      </c>
      <c r="Q118" s="271">
        <v>12894.0</v>
      </c>
      <c r="R118" s="271">
        <v>0.0</v>
      </c>
      <c r="S118" s="271">
        <v>2458.0</v>
      </c>
      <c r="T118" s="271">
        <v>8860.0</v>
      </c>
      <c r="U118" s="272">
        <v>60751.0</v>
      </c>
    </row>
    <row r="119" ht="15.75" customHeight="1">
      <c r="A119" s="205" t="s">
        <v>396</v>
      </c>
      <c r="B119" s="271">
        <v>14415.0</v>
      </c>
      <c r="C119" s="271">
        <v>641056.0</v>
      </c>
      <c r="D119" s="271">
        <v>22940.0</v>
      </c>
      <c r="E119" s="271">
        <v>134975.0</v>
      </c>
      <c r="F119" s="271">
        <v>8219.0</v>
      </c>
      <c r="G119" s="271">
        <v>3304.0</v>
      </c>
      <c r="H119" s="271">
        <v>15906.0</v>
      </c>
      <c r="I119" s="271">
        <v>11380.0</v>
      </c>
      <c r="J119" s="271">
        <v>21635.0</v>
      </c>
      <c r="K119" s="271">
        <v>239261.0</v>
      </c>
      <c r="L119" s="271">
        <v>9770.0</v>
      </c>
      <c r="M119" s="271">
        <v>0.0</v>
      </c>
      <c r="N119" s="271">
        <v>12466.0</v>
      </c>
      <c r="O119" s="271">
        <v>1399.0</v>
      </c>
      <c r="P119" s="271">
        <v>7935.0</v>
      </c>
      <c r="Q119" s="271">
        <v>27373.0</v>
      </c>
      <c r="R119" s="271">
        <v>0.0</v>
      </c>
      <c r="S119" s="271">
        <v>1519.0</v>
      </c>
      <c r="T119" s="271">
        <v>6843.0</v>
      </c>
      <c r="U119" s="272">
        <v>76042.0</v>
      </c>
    </row>
    <row r="120" ht="15.75" customHeight="1">
      <c r="A120" s="205" t="s">
        <v>397</v>
      </c>
      <c r="B120" s="271">
        <v>17065.0</v>
      </c>
      <c r="C120" s="271">
        <v>704706.0</v>
      </c>
      <c r="D120" s="271">
        <v>34052.0</v>
      </c>
      <c r="E120" s="271">
        <v>166220.0</v>
      </c>
      <c r="F120" s="271">
        <v>11442.0</v>
      </c>
      <c r="G120" s="271">
        <v>3844.0</v>
      </c>
      <c r="H120" s="271">
        <v>20478.0</v>
      </c>
      <c r="I120" s="271">
        <v>2864.0</v>
      </c>
      <c r="J120" s="271">
        <v>23583.0</v>
      </c>
      <c r="K120" s="271">
        <v>346327.0</v>
      </c>
      <c r="L120" s="271">
        <v>14327.0</v>
      </c>
      <c r="M120" s="271">
        <v>0.0</v>
      </c>
      <c r="N120" s="271">
        <v>18018.0</v>
      </c>
      <c r="O120" s="271">
        <v>629.0</v>
      </c>
      <c r="P120" s="271">
        <v>7410.0</v>
      </c>
      <c r="Q120" s="271">
        <v>29750.0</v>
      </c>
      <c r="R120" s="271">
        <v>0.0</v>
      </c>
      <c r="S120" s="271">
        <v>1263.0</v>
      </c>
      <c r="T120" s="271">
        <v>18114.0</v>
      </c>
      <c r="U120" s="272">
        <v>85964.0</v>
      </c>
    </row>
    <row r="121" ht="15.75" customHeight="1">
      <c r="A121" s="205" t="s">
        <v>398</v>
      </c>
      <c r="B121" s="271">
        <v>13009.0</v>
      </c>
      <c r="C121" s="271">
        <v>788072.0</v>
      </c>
      <c r="D121" s="271">
        <v>30382.0</v>
      </c>
      <c r="E121" s="271">
        <v>219654.0</v>
      </c>
      <c r="F121" s="271">
        <v>9360.0</v>
      </c>
      <c r="G121" s="271">
        <v>4043.0</v>
      </c>
      <c r="H121" s="271">
        <v>27510.0</v>
      </c>
      <c r="I121" s="271">
        <v>1660.0</v>
      </c>
      <c r="J121" s="271">
        <v>20897.0</v>
      </c>
      <c r="K121" s="271">
        <v>456559.0</v>
      </c>
      <c r="L121" s="271">
        <v>14160.0</v>
      </c>
      <c r="M121" s="271">
        <v>0.0</v>
      </c>
      <c r="N121" s="271">
        <v>24585.0</v>
      </c>
      <c r="O121" s="271">
        <v>2468.0</v>
      </c>
      <c r="P121" s="271">
        <v>11671.0</v>
      </c>
      <c r="Q121" s="271">
        <v>38706.0</v>
      </c>
      <c r="R121" s="271">
        <v>0.0</v>
      </c>
      <c r="S121" s="271">
        <v>2011.0</v>
      </c>
      <c r="T121" s="271">
        <v>16299.0</v>
      </c>
      <c r="U121" s="272">
        <v>96962.0</v>
      </c>
      <c r="V121" s="47"/>
    </row>
    <row r="122" ht="15.75" customHeight="1">
      <c r="A122" s="210" t="s">
        <v>399</v>
      </c>
      <c r="B122" s="279">
        <v>1905.0</v>
      </c>
      <c r="C122" s="279">
        <v>52790.0</v>
      </c>
      <c r="D122" s="279">
        <v>3986.0</v>
      </c>
      <c r="E122" s="279">
        <v>33191.0</v>
      </c>
      <c r="F122" s="279">
        <v>1408.0</v>
      </c>
      <c r="G122" s="279">
        <v>788.0</v>
      </c>
      <c r="H122" s="279">
        <v>3899.0</v>
      </c>
      <c r="I122" s="279">
        <v>0.0</v>
      </c>
      <c r="J122" s="279">
        <v>4593.0</v>
      </c>
      <c r="K122" s="279">
        <v>54092.0</v>
      </c>
      <c r="L122" s="279">
        <v>1766.0</v>
      </c>
      <c r="M122" s="279">
        <v>0.0</v>
      </c>
      <c r="N122" s="279">
        <v>3055.0</v>
      </c>
      <c r="O122" s="279">
        <v>99.0</v>
      </c>
      <c r="P122" s="279">
        <v>2978.0</v>
      </c>
      <c r="Q122" s="279">
        <v>10220.0</v>
      </c>
      <c r="R122" s="279">
        <v>0.0</v>
      </c>
      <c r="S122" s="279">
        <v>792.0</v>
      </c>
      <c r="T122" s="279">
        <v>3701.0</v>
      </c>
      <c r="U122" s="280">
        <v>9952.0</v>
      </c>
      <c r="V122" s="47"/>
    </row>
    <row r="123" ht="15.75" customHeight="1">
      <c r="V123" s="145">
        <f>SUM(B112:U122)</f>
        <v>8115644</v>
      </c>
      <c r="W123" s="145">
        <f>SUM(V123,V137)</f>
        <v>16578866</v>
      </c>
    </row>
    <row r="124" ht="15.75" customHeight="1">
      <c r="A124" s="269" t="s">
        <v>423</v>
      </c>
      <c r="B124" s="269"/>
      <c r="C124" s="269"/>
      <c r="D124" s="269"/>
      <c r="E124" s="269"/>
      <c r="F124" s="269"/>
      <c r="G124" s="269"/>
      <c r="H124" s="163"/>
      <c r="I124" s="163"/>
    </row>
    <row r="125" ht="15.75" customHeight="1">
      <c r="A125" s="222" t="s">
        <v>404</v>
      </c>
      <c r="B125" s="223" t="s">
        <v>288</v>
      </c>
      <c r="C125" s="223" t="s">
        <v>405</v>
      </c>
      <c r="D125" s="223" t="s">
        <v>292</v>
      </c>
      <c r="E125" s="223" t="s">
        <v>294</v>
      </c>
      <c r="F125" s="223" t="s">
        <v>296</v>
      </c>
      <c r="G125" s="223" t="s">
        <v>298</v>
      </c>
      <c r="H125" s="223" t="s">
        <v>300</v>
      </c>
      <c r="I125" s="223" t="s">
        <v>89</v>
      </c>
      <c r="J125" s="223" t="s">
        <v>303</v>
      </c>
      <c r="K125" s="223" t="s">
        <v>305</v>
      </c>
      <c r="L125" s="223" t="s">
        <v>307</v>
      </c>
      <c r="M125" s="223" t="s">
        <v>406</v>
      </c>
      <c r="N125" s="223" t="s">
        <v>311</v>
      </c>
      <c r="O125" s="223" t="s">
        <v>313</v>
      </c>
      <c r="P125" s="223" t="s">
        <v>315</v>
      </c>
      <c r="Q125" s="223" t="s">
        <v>407</v>
      </c>
      <c r="R125" s="223" t="s">
        <v>319</v>
      </c>
      <c r="S125" s="223" t="s">
        <v>321</v>
      </c>
      <c r="T125" s="223" t="s">
        <v>323</v>
      </c>
      <c r="U125" s="241" t="s">
        <v>408</v>
      </c>
    </row>
    <row r="126" ht="15.75" customHeight="1">
      <c r="A126" s="281" t="s">
        <v>417</v>
      </c>
      <c r="B126" s="271">
        <v>389.0</v>
      </c>
      <c r="C126" s="271">
        <v>16639.0</v>
      </c>
      <c r="D126" s="271">
        <v>346.0</v>
      </c>
      <c r="E126" s="271">
        <v>0.0</v>
      </c>
      <c r="F126" s="271">
        <v>0.0</v>
      </c>
      <c r="G126" s="271">
        <v>2.0</v>
      </c>
      <c r="H126" s="271">
        <v>0.0</v>
      </c>
      <c r="I126" s="271">
        <v>0.0</v>
      </c>
      <c r="J126" s="271">
        <v>274.0</v>
      </c>
      <c r="K126" s="271">
        <v>434.0</v>
      </c>
      <c r="L126" s="271">
        <v>24.0</v>
      </c>
      <c r="M126" s="271">
        <v>0.0</v>
      </c>
      <c r="N126" s="271">
        <v>0.0</v>
      </c>
      <c r="O126" s="271">
        <v>37.0</v>
      </c>
      <c r="P126" s="271">
        <v>0.0</v>
      </c>
      <c r="Q126" s="271">
        <v>140.0</v>
      </c>
      <c r="R126" s="271">
        <v>161.0</v>
      </c>
      <c r="S126" s="271">
        <v>0.0</v>
      </c>
      <c r="T126" s="271">
        <v>0.0</v>
      </c>
      <c r="U126" s="272">
        <v>160.0</v>
      </c>
    </row>
    <row r="127" ht="15.75" customHeight="1">
      <c r="A127" s="205" t="s">
        <v>418</v>
      </c>
      <c r="B127" s="271">
        <v>4433.0</v>
      </c>
      <c r="C127" s="271">
        <v>154471.0</v>
      </c>
      <c r="D127" s="271">
        <v>796.0</v>
      </c>
      <c r="E127" s="271">
        <v>346.0</v>
      </c>
      <c r="F127" s="271">
        <v>380.0</v>
      </c>
      <c r="G127" s="271">
        <v>349.0</v>
      </c>
      <c r="H127" s="271">
        <v>482.0</v>
      </c>
      <c r="I127" s="271">
        <v>2148.0</v>
      </c>
      <c r="J127" s="271">
        <v>4744.0</v>
      </c>
      <c r="K127" s="271">
        <v>5523.0</v>
      </c>
      <c r="L127" s="271">
        <v>315.0</v>
      </c>
      <c r="M127" s="271">
        <v>0.0</v>
      </c>
      <c r="N127" s="271">
        <v>0.0</v>
      </c>
      <c r="O127" s="271">
        <v>730.0</v>
      </c>
      <c r="P127" s="271">
        <v>0.0</v>
      </c>
      <c r="Q127" s="271">
        <v>457.0</v>
      </c>
      <c r="R127" s="271">
        <v>2901.0</v>
      </c>
      <c r="S127" s="271">
        <v>0.0</v>
      </c>
      <c r="T127" s="271">
        <v>3.0</v>
      </c>
      <c r="U127" s="272">
        <v>3744.0</v>
      </c>
    </row>
    <row r="128" ht="15.75" customHeight="1">
      <c r="A128" s="205" t="s">
        <v>391</v>
      </c>
      <c r="B128" s="271">
        <v>7362.0</v>
      </c>
      <c r="C128" s="271">
        <v>227415.0</v>
      </c>
      <c r="D128" s="271">
        <v>1179.0</v>
      </c>
      <c r="E128" s="271">
        <v>1159.0</v>
      </c>
      <c r="F128" s="271">
        <v>1680.0</v>
      </c>
      <c r="G128" s="271">
        <v>1235.0</v>
      </c>
      <c r="H128" s="271">
        <v>419.0</v>
      </c>
      <c r="I128" s="271">
        <v>3312.0</v>
      </c>
      <c r="J128" s="271">
        <v>9043.0</v>
      </c>
      <c r="K128" s="271">
        <v>9775.0</v>
      </c>
      <c r="L128" s="271">
        <v>1105.0</v>
      </c>
      <c r="M128" s="271">
        <v>0.0</v>
      </c>
      <c r="N128" s="271">
        <v>91.0</v>
      </c>
      <c r="O128" s="271">
        <v>6703.0</v>
      </c>
      <c r="P128" s="271">
        <v>12.0</v>
      </c>
      <c r="Q128" s="271">
        <v>465.0</v>
      </c>
      <c r="R128" s="271">
        <v>5151.0</v>
      </c>
      <c r="S128" s="271">
        <v>0.0</v>
      </c>
      <c r="T128" s="271">
        <v>6.0</v>
      </c>
      <c r="U128" s="272">
        <v>5643.0</v>
      </c>
    </row>
    <row r="129" ht="15.75" customHeight="1">
      <c r="A129" s="205" t="s">
        <v>392</v>
      </c>
      <c r="B129" s="271">
        <v>8773.0</v>
      </c>
      <c r="C129" s="271">
        <v>277691.0</v>
      </c>
      <c r="D129" s="271">
        <v>2321.0</v>
      </c>
      <c r="E129" s="271">
        <v>1562.0</v>
      </c>
      <c r="F129" s="271">
        <v>1932.0</v>
      </c>
      <c r="G129" s="271">
        <v>253.0</v>
      </c>
      <c r="H129" s="271">
        <v>518.0</v>
      </c>
      <c r="I129" s="271">
        <v>10655.0</v>
      </c>
      <c r="J129" s="271">
        <v>16577.0</v>
      </c>
      <c r="K129" s="271">
        <v>13272.0</v>
      </c>
      <c r="L129" s="271">
        <v>1268.0</v>
      </c>
      <c r="M129" s="271">
        <v>0.0</v>
      </c>
      <c r="N129" s="271">
        <v>301.0</v>
      </c>
      <c r="O129" s="271">
        <v>16337.0</v>
      </c>
      <c r="P129" s="271">
        <v>741.0</v>
      </c>
      <c r="Q129" s="271">
        <v>2135.0</v>
      </c>
      <c r="R129" s="271">
        <v>6860.0</v>
      </c>
      <c r="S129" s="271">
        <v>208.0</v>
      </c>
      <c r="T129" s="271">
        <v>657.0</v>
      </c>
      <c r="U129" s="272">
        <v>9213.0</v>
      </c>
    </row>
    <row r="130" ht="15.75" customHeight="1">
      <c r="A130" s="205" t="s">
        <v>393</v>
      </c>
      <c r="B130" s="271">
        <v>15742.0</v>
      </c>
      <c r="C130" s="271">
        <v>453499.0</v>
      </c>
      <c r="D130" s="271">
        <v>3056.0</v>
      </c>
      <c r="E130" s="271">
        <v>4131.0</v>
      </c>
      <c r="F130" s="271">
        <v>1752.0</v>
      </c>
      <c r="G130" s="271">
        <v>1678.0</v>
      </c>
      <c r="H130" s="271">
        <v>952.0</v>
      </c>
      <c r="I130" s="271">
        <v>13493.0</v>
      </c>
      <c r="J130" s="271">
        <v>28534.0</v>
      </c>
      <c r="K130" s="271">
        <v>32966.0</v>
      </c>
      <c r="L130" s="271">
        <v>4015.0</v>
      </c>
      <c r="M130" s="271">
        <v>295.0</v>
      </c>
      <c r="N130" s="271">
        <v>1041.0</v>
      </c>
      <c r="O130" s="271">
        <v>48410.0</v>
      </c>
      <c r="P130" s="271">
        <v>968.0</v>
      </c>
      <c r="Q130" s="271">
        <v>4156.0</v>
      </c>
      <c r="R130" s="271">
        <v>9214.0</v>
      </c>
      <c r="S130" s="271">
        <v>33.0</v>
      </c>
      <c r="T130" s="271">
        <v>704.0</v>
      </c>
      <c r="U130" s="272">
        <v>15983.0</v>
      </c>
    </row>
    <row r="131" ht="15.75" customHeight="1">
      <c r="A131" s="205" t="s">
        <v>394</v>
      </c>
      <c r="B131" s="271">
        <v>22724.0</v>
      </c>
      <c r="C131" s="271">
        <v>772462.0</v>
      </c>
      <c r="D131" s="271">
        <v>3731.0</v>
      </c>
      <c r="E131" s="271">
        <v>11036.0</v>
      </c>
      <c r="F131" s="271">
        <v>4220.0</v>
      </c>
      <c r="G131" s="271">
        <v>3182.0</v>
      </c>
      <c r="H131" s="271">
        <v>4127.0</v>
      </c>
      <c r="I131" s="271">
        <v>18893.0</v>
      </c>
      <c r="J131" s="271">
        <v>44585.0</v>
      </c>
      <c r="K131" s="271">
        <v>89392.0</v>
      </c>
      <c r="L131" s="271">
        <v>6376.0</v>
      </c>
      <c r="M131" s="271">
        <v>178.0</v>
      </c>
      <c r="N131" s="271">
        <v>1228.0</v>
      </c>
      <c r="O131" s="271">
        <v>95998.0</v>
      </c>
      <c r="P131" s="271">
        <v>873.0</v>
      </c>
      <c r="Q131" s="271">
        <v>9993.0</v>
      </c>
      <c r="R131" s="271">
        <v>16569.0</v>
      </c>
      <c r="S131" s="271">
        <v>582.0</v>
      </c>
      <c r="T131" s="271">
        <v>1208.0</v>
      </c>
      <c r="U131" s="272">
        <v>41234.0</v>
      </c>
    </row>
    <row r="132" ht="15.75" customHeight="1">
      <c r="A132" s="205" t="s">
        <v>395</v>
      </c>
      <c r="B132" s="271">
        <v>28491.0</v>
      </c>
      <c r="C132" s="271">
        <v>865001.0</v>
      </c>
      <c r="D132" s="271">
        <v>7010.0</v>
      </c>
      <c r="E132" s="271">
        <v>18896.0</v>
      </c>
      <c r="F132" s="271">
        <v>4254.0</v>
      </c>
      <c r="G132" s="271">
        <v>3118.0</v>
      </c>
      <c r="H132" s="271">
        <v>4490.0</v>
      </c>
      <c r="I132" s="271">
        <v>18223.0</v>
      </c>
      <c r="J132" s="271">
        <v>42260.0</v>
      </c>
      <c r="K132" s="271">
        <v>157413.0</v>
      </c>
      <c r="L132" s="271">
        <v>9503.0</v>
      </c>
      <c r="M132" s="271">
        <v>856.0</v>
      </c>
      <c r="N132" s="271">
        <v>4664.0</v>
      </c>
      <c r="O132" s="271">
        <v>154374.0</v>
      </c>
      <c r="P132" s="271">
        <v>1400.0</v>
      </c>
      <c r="Q132" s="271">
        <v>12167.0</v>
      </c>
      <c r="R132" s="271">
        <v>23838.0</v>
      </c>
      <c r="S132" s="271">
        <v>504.0</v>
      </c>
      <c r="T132" s="271">
        <v>1470.0</v>
      </c>
      <c r="U132" s="272">
        <v>56973.0</v>
      </c>
    </row>
    <row r="133" ht="15.75" customHeight="1">
      <c r="A133" s="205" t="s">
        <v>396</v>
      </c>
      <c r="B133" s="271">
        <v>30015.0</v>
      </c>
      <c r="C133" s="271">
        <v>967375.0</v>
      </c>
      <c r="D133" s="271">
        <v>14740.0</v>
      </c>
      <c r="E133" s="271">
        <v>30164.0</v>
      </c>
      <c r="F133" s="271">
        <v>5426.0</v>
      </c>
      <c r="G133" s="271">
        <v>4855.0</v>
      </c>
      <c r="H133" s="271">
        <v>9884.0</v>
      </c>
      <c r="I133" s="271">
        <v>11336.0</v>
      </c>
      <c r="J133" s="271">
        <v>43231.0</v>
      </c>
      <c r="K133" s="271">
        <v>284319.0</v>
      </c>
      <c r="L133" s="271">
        <v>7357.0</v>
      </c>
      <c r="M133" s="271">
        <v>694.0</v>
      </c>
      <c r="N133" s="271">
        <v>5981.0</v>
      </c>
      <c r="O133" s="271">
        <v>150238.0</v>
      </c>
      <c r="P133" s="271">
        <v>5604.0</v>
      </c>
      <c r="Q133" s="271">
        <v>19828.0</v>
      </c>
      <c r="R133" s="271">
        <v>22011.0</v>
      </c>
      <c r="S133" s="271">
        <v>801.0</v>
      </c>
      <c r="T133" s="271">
        <v>3522.0</v>
      </c>
      <c r="U133" s="272">
        <v>71420.0</v>
      </c>
    </row>
    <row r="134" ht="15.75" customHeight="1">
      <c r="A134" s="205" t="s">
        <v>397</v>
      </c>
      <c r="B134" s="271">
        <v>34459.0</v>
      </c>
      <c r="C134" s="271">
        <v>1029838.0</v>
      </c>
      <c r="D134" s="271">
        <v>12817.0</v>
      </c>
      <c r="E134" s="271">
        <v>47152.0</v>
      </c>
      <c r="F134" s="271">
        <v>5107.0</v>
      </c>
      <c r="G134" s="271">
        <v>5426.0</v>
      </c>
      <c r="H134" s="271">
        <v>9019.0</v>
      </c>
      <c r="I134" s="271">
        <v>10903.0</v>
      </c>
      <c r="J134" s="271">
        <v>43891.0</v>
      </c>
      <c r="K134" s="271">
        <v>430577.0</v>
      </c>
      <c r="L134" s="271">
        <v>6437.0</v>
      </c>
      <c r="M134" s="271">
        <v>2379.0</v>
      </c>
      <c r="N134" s="271">
        <v>7900.0</v>
      </c>
      <c r="O134" s="271">
        <v>134899.0</v>
      </c>
      <c r="P134" s="271">
        <v>8314.0</v>
      </c>
      <c r="Q134" s="271">
        <v>17163.0</v>
      </c>
      <c r="R134" s="271">
        <v>21404.0</v>
      </c>
      <c r="S134" s="271">
        <v>1980.0</v>
      </c>
      <c r="T134" s="271">
        <v>4925.0</v>
      </c>
      <c r="U134" s="272">
        <v>79221.0</v>
      </c>
    </row>
    <row r="135" ht="15.75" customHeight="1">
      <c r="A135" s="205" t="s">
        <v>398</v>
      </c>
      <c r="B135" s="271">
        <v>10609.0</v>
      </c>
      <c r="C135" s="271">
        <v>322388.0</v>
      </c>
      <c r="D135" s="271">
        <v>4362.0</v>
      </c>
      <c r="E135" s="271">
        <v>19466.0</v>
      </c>
      <c r="F135" s="271">
        <v>4250.0</v>
      </c>
      <c r="G135" s="271">
        <v>1919.0</v>
      </c>
      <c r="H135" s="271">
        <v>3174.0</v>
      </c>
      <c r="I135" s="271">
        <v>2024.0</v>
      </c>
      <c r="J135" s="271">
        <v>11956.0</v>
      </c>
      <c r="K135" s="271">
        <v>169852.0</v>
      </c>
      <c r="L135" s="271">
        <v>4136.0</v>
      </c>
      <c r="M135" s="271">
        <v>565.0</v>
      </c>
      <c r="N135" s="271">
        <v>5824.0</v>
      </c>
      <c r="O135" s="271">
        <v>62952.0</v>
      </c>
      <c r="P135" s="271">
        <v>4055.0</v>
      </c>
      <c r="Q135" s="271">
        <v>12692.0</v>
      </c>
      <c r="R135" s="271">
        <v>11920.0</v>
      </c>
      <c r="S135" s="271">
        <v>1184.0</v>
      </c>
      <c r="T135" s="271">
        <v>4064.0</v>
      </c>
      <c r="U135" s="272">
        <v>31529.0</v>
      </c>
    </row>
    <row r="136" ht="15.75" customHeight="1">
      <c r="A136" s="210" t="s">
        <v>399</v>
      </c>
      <c r="B136" s="279">
        <v>2048.0</v>
      </c>
      <c r="C136" s="279">
        <v>34395.0</v>
      </c>
      <c r="D136" s="279">
        <v>414.0</v>
      </c>
      <c r="E136" s="279">
        <v>5547.0</v>
      </c>
      <c r="F136" s="279">
        <v>221.0</v>
      </c>
      <c r="G136" s="279">
        <v>349.0</v>
      </c>
      <c r="H136" s="279">
        <v>1740.0</v>
      </c>
      <c r="I136" s="279">
        <v>88.0</v>
      </c>
      <c r="J136" s="279">
        <v>3454.0</v>
      </c>
      <c r="K136" s="279">
        <v>40387.0</v>
      </c>
      <c r="L136" s="279">
        <v>1378.0</v>
      </c>
      <c r="M136" s="279">
        <v>55.0</v>
      </c>
      <c r="N136" s="279">
        <v>1021.0</v>
      </c>
      <c r="O136" s="279">
        <v>9919.0</v>
      </c>
      <c r="P136" s="279">
        <v>1039.0</v>
      </c>
      <c r="Q136" s="279">
        <v>2925.0</v>
      </c>
      <c r="R136" s="279">
        <v>2388.0</v>
      </c>
      <c r="S136" s="279">
        <v>139.0</v>
      </c>
      <c r="T136" s="279">
        <v>1367.0</v>
      </c>
      <c r="U136" s="280">
        <v>5240.0</v>
      </c>
    </row>
    <row r="137" ht="15.75" customHeight="1">
      <c r="V137" s="145">
        <f>SUM(B126:U136)</f>
        <v>8463222</v>
      </c>
    </row>
    <row r="138" ht="15.75" customHeight="1">
      <c r="A138" s="282"/>
      <c r="B138" s="283" t="s">
        <v>288</v>
      </c>
      <c r="C138" s="223" t="s">
        <v>405</v>
      </c>
      <c r="D138" s="223" t="s">
        <v>292</v>
      </c>
      <c r="E138" s="223" t="s">
        <v>294</v>
      </c>
      <c r="F138" s="223" t="s">
        <v>296</v>
      </c>
      <c r="G138" s="223" t="s">
        <v>298</v>
      </c>
      <c r="H138" s="223" t="s">
        <v>300</v>
      </c>
      <c r="I138" s="223" t="s">
        <v>89</v>
      </c>
      <c r="J138" s="223" t="s">
        <v>303</v>
      </c>
      <c r="K138" s="223" t="s">
        <v>305</v>
      </c>
      <c r="L138" s="223" t="s">
        <v>307</v>
      </c>
      <c r="M138" s="223" t="s">
        <v>406</v>
      </c>
      <c r="N138" s="223" t="s">
        <v>311</v>
      </c>
      <c r="O138" s="223" t="s">
        <v>313</v>
      </c>
      <c r="P138" s="223" t="s">
        <v>315</v>
      </c>
      <c r="Q138" s="223" t="s">
        <v>407</v>
      </c>
      <c r="R138" s="223" t="s">
        <v>319</v>
      </c>
      <c r="S138" s="223" t="s">
        <v>321</v>
      </c>
      <c r="T138" s="223" t="s">
        <v>323</v>
      </c>
      <c r="U138" s="241" t="s">
        <v>408</v>
      </c>
    </row>
    <row r="139" ht="15.75" customHeight="1">
      <c r="A139" s="284" t="s">
        <v>409</v>
      </c>
      <c r="B139" s="285">
        <v>10929.08026017244</v>
      </c>
      <c r="C139" s="285">
        <v>1584663.0573709696</v>
      </c>
      <c r="D139" s="285">
        <v>81905.90192981018</v>
      </c>
      <c r="E139" s="285">
        <v>134629.6168843098</v>
      </c>
      <c r="F139" s="285">
        <v>0.0</v>
      </c>
      <c r="G139" s="285">
        <v>1785.5970684314957</v>
      </c>
      <c r="H139" s="285">
        <v>12068.028159634769</v>
      </c>
      <c r="I139" s="285">
        <v>45039.0</v>
      </c>
      <c r="J139" s="285">
        <v>16117.193325978424</v>
      </c>
      <c r="K139" s="285">
        <v>713332.9405819084</v>
      </c>
      <c r="L139" s="285">
        <v>28880.22387495678</v>
      </c>
      <c r="M139" s="285">
        <v>0.0</v>
      </c>
      <c r="N139" s="285">
        <v>16245.60732269636</v>
      </c>
      <c r="O139" s="285">
        <v>0.0</v>
      </c>
      <c r="P139" s="285">
        <v>11214.763316342323</v>
      </c>
      <c r="Q139" s="285">
        <v>31804.02002245465</v>
      </c>
      <c r="R139" s="285">
        <v>0.0</v>
      </c>
      <c r="S139" s="285">
        <v>1126.3579585924872</v>
      </c>
      <c r="T139" s="285">
        <v>13010.78186061294</v>
      </c>
      <c r="U139" s="285">
        <v>92957.00664497753</v>
      </c>
      <c r="V139" s="145">
        <v>2795709.1765818475</v>
      </c>
    </row>
    <row r="140" ht="15.75" customHeight="1">
      <c r="A140" s="286" t="s">
        <v>410</v>
      </c>
      <c r="B140" s="47">
        <v>26986.846828250415</v>
      </c>
      <c r="C140" s="47">
        <v>1576988.4353778465</v>
      </c>
      <c r="D140" s="47">
        <v>37235.952099605274</v>
      </c>
      <c r="E140" s="47">
        <v>51876.028180753296</v>
      </c>
      <c r="F140" s="47">
        <v>2337.6208487806616</v>
      </c>
      <c r="G140" s="47">
        <v>0.0</v>
      </c>
      <c r="H140" s="47">
        <v>4158.8380365399935</v>
      </c>
      <c r="I140" s="47">
        <v>88839.0</v>
      </c>
      <c r="J140" s="47">
        <v>60373.417724027306</v>
      </c>
      <c r="K140" s="47">
        <v>270101.6388949478</v>
      </c>
      <c r="L140" s="47">
        <v>16014.908432684751</v>
      </c>
      <c r="M140" s="47">
        <v>1976.5635748980335</v>
      </c>
      <c r="N140" s="47">
        <v>9073.876286288352</v>
      </c>
      <c r="O140" s="47">
        <v>23660.60125417813</v>
      </c>
      <c r="P140" s="47">
        <v>3488.0291314671927</v>
      </c>
      <c r="Q140" s="47">
        <v>12892.213195331138</v>
      </c>
      <c r="R140" s="47">
        <v>8235.643206997518</v>
      </c>
      <c r="S140" s="47">
        <v>1088.6289764629191</v>
      </c>
      <c r="T140" s="47">
        <v>3259.419847395556</v>
      </c>
      <c r="U140" s="47">
        <v>89410.08460575185</v>
      </c>
    </row>
    <row r="141" ht="15.75" customHeight="1"/>
    <row r="142" ht="15.75" customHeight="1">
      <c r="B142" s="282"/>
      <c r="C142" s="285" t="s">
        <v>409</v>
      </c>
      <c r="D142" s="14" t="s">
        <v>410</v>
      </c>
      <c r="I142" s="47"/>
    </row>
    <row r="143" ht="15.75" customHeight="1">
      <c r="B143" s="283" t="s">
        <v>288</v>
      </c>
      <c r="C143" s="39">
        <v>10.92908026017244</v>
      </c>
      <c r="D143" s="39">
        <v>26.986846828250414</v>
      </c>
    </row>
    <row r="144" ht="15.75" customHeight="1">
      <c r="B144" s="223" t="s">
        <v>405</v>
      </c>
      <c r="C144" s="39">
        <v>1584.6630573709695</v>
      </c>
      <c r="D144" s="39">
        <v>1576.9884353778464</v>
      </c>
    </row>
    <row r="145" ht="15.75" customHeight="1">
      <c r="B145" s="223" t="s">
        <v>292</v>
      </c>
      <c r="C145" s="39">
        <v>81.90590192981018</v>
      </c>
      <c r="D145" s="39">
        <v>37.23595209960527</v>
      </c>
    </row>
    <row r="146" ht="15.75" customHeight="1">
      <c r="B146" s="223" t="s">
        <v>294</v>
      </c>
      <c r="C146" s="39">
        <v>134.6296168843098</v>
      </c>
      <c r="D146" s="39">
        <v>51.876028180753295</v>
      </c>
    </row>
    <row r="147" ht="15.75" customHeight="1">
      <c r="B147" s="223" t="s">
        <v>296</v>
      </c>
      <c r="C147" s="39">
        <v>0.0</v>
      </c>
      <c r="D147" s="39">
        <v>2.3376208487806616</v>
      </c>
    </row>
    <row r="148" ht="15.75" customHeight="1">
      <c r="B148" s="223" t="s">
        <v>298</v>
      </c>
      <c r="C148" s="39">
        <v>1.7855970684314957</v>
      </c>
      <c r="D148" s="39">
        <v>0.0</v>
      </c>
    </row>
    <row r="149" ht="15.75" customHeight="1">
      <c r="B149" s="223" t="s">
        <v>300</v>
      </c>
      <c r="C149" s="39">
        <v>12.06802815963477</v>
      </c>
      <c r="D149" s="39">
        <v>4.1588380365399935</v>
      </c>
    </row>
    <row r="150" ht="15.75" customHeight="1">
      <c r="B150" s="223" t="s">
        <v>89</v>
      </c>
      <c r="C150" s="39">
        <v>45.039</v>
      </c>
      <c r="D150" s="39">
        <v>88.839</v>
      </c>
    </row>
    <row r="151" ht="15.75" customHeight="1">
      <c r="B151" s="223" t="s">
        <v>303</v>
      </c>
      <c r="C151" s="39">
        <v>16.117193325978423</v>
      </c>
      <c r="D151" s="39">
        <v>60.373417724027306</v>
      </c>
    </row>
    <row r="152" ht="15.75" customHeight="1">
      <c r="B152" s="223" t="s">
        <v>305</v>
      </c>
      <c r="C152" s="39">
        <v>713.3329405819085</v>
      </c>
      <c r="D152" s="39">
        <v>270.1016388949478</v>
      </c>
    </row>
    <row r="153" ht="15.75" customHeight="1">
      <c r="B153" s="223" t="s">
        <v>307</v>
      </c>
      <c r="C153" s="39">
        <v>28.88022387495678</v>
      </c>
      <c r="D153" s="39">
        <v>16.014908432684752</v>
      </c>
    </row>
    <row r="154" ht="15.75" customHeight="1">
      <c r="B154" s="223" t="s">
        <v>406</v>
      </c>
      <c r="C154" s="39">
        <v>0.0</v>
      </c>
      <c r="D154" s="39">
        <v>1.9765635748980335</v>
      </c>
    </row>
    <row r="155" ht="15.75" customHeight="1">
      <c r="B155" s="223" t="s">
        <v>311</v>
      </c>
      <c r="C155" s="39">
        <v>16.245607322696358</v>
      </c>
      <c r="D155" s="39">
        <v>9.073876286288352</v>
      </c>
    </row>
    <row r="156" ht="15.75" customHeight="1">
      <c r="B156" s="223" t="s">
        <v>313</v>
      </c>
      <c r="C156" s="39">
        <v>0.0</v>
      </c>
      <c r="D156" s="39">
        <v>23.660601254178133</v>
      </c>
    </row>
    <row r="157" ht="15.75" customHeight="1">
      <c r="B157" s="223" t="s">
        <v>315</v>
      </c>
      <c r="C157" s="39">
        <v>11.214763316342323</v>
      </c>
      <c r="D157" s="39">
        <v>3.4880291314671927</v>
      </c>
    </row>
    <row r="158" ht="15.75" customHeight="1">
      <c r="B158" s="223" t="s">
        <v>407</v>
      </c>
      <c r="C158" s="39">
        <v>31.80402002245465</v>
      </c>
      <c r="D158" s="39">
        <v>12.892213195331138</v>
      </c>
    </row>
    <row r="159" ht="15.75" customHeight="1">
      <c r="B159" s="223" t="s">
        <v>319</v>
      </c>
      <c r="C159" s="39">
        <v>0.0</v>
      </c>
      <c r="D159" s="39">
        <v>8.235643206997517</v>
      </c>
    </row>
    <row r="160" ht="15.75" customHeight="1">
      <c r="B160" s="223" t="s">
        <v>321</v>
      </c>
      <c r="C160" s="39">
        <v>1.1263579585924872</v>
      </c>
      <c r="D160" s="39">
        <v>1.0886289764629191</v>
      </c>
    </row>
    <row r="161" ht="15.75" customHeight="1">
      <c r="B161" s="223" t="s">
        <v>323</v>
      </c>
      <c r="C161" s="39">
        <v>13.01078186061294</v>
      </c>
      <c r="D161" s="39">
        <v>3.2594198473955562</v>
      </c>
    </row>
    <row r="162" ht="15.75" customHeight="1">
      <c r="B162" s="241" t="s">
        <v>408</v>
      </c>
      <c r="C162" s="39">
        <v>92.95700664497754</v>
      </c>
      <c r="D162" s="39">
        <v>89.41008460575185</v>
      </c>
    </row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287" t="s">
        <v>424</v>
      </c>
      <c r="B208" s="287"/>
    </row>
    <row r="209" ht="15.75" customHeight="1">
      <c r="A209" s="269" t="s">
        <v>425</v>
      </c>
      <c r="B209" s="270"/>
      <c r="C209" s="270"/>
      <c r="D209" s="270"/>
      <c r="E209" s="270"/>
      <c r="F209" s="270"/>
      <c r="G209" s="270"/>
    </row>
    <row r="210" ht="15.75" customHeight="1">
      <c r="A210" s="222" t="s">
        <v>404</v>
      </c>
      <c r="B210" s="223" t="s">
        <v>288</v>
      </c>
      <c r="C210" s="223" t="s">
        <v>405</v>
      </c>
      <c r="D210" s="223" t="s">
        <v>292</v>
      </c>
      <c r="E210" s="223" t="s">
        <v>294</v>
      </c>
      <c r="F210" s="223" t="s">
        <v>296</v>
      </c>
      <c r="G210" s="223" t="s">
        <v>298</v>
      </c>
      <c r="H210" s="223" t="s">
        <v>300</v>
      </c>
      <c r="I210" s="223" t="s">
        <v>89</v>
      </c>
      <c r="J210" s="223" t="s">
        <v>303</v>
      </c>
      <c r="K210" s="223" t="s">
        <v>305</v>
      </c>
      <c r="L210" s="223" t="s">
        <v>307</v>
      </c>
      <c r="M210" s="223" t="s">
        <v>406</v>
      </c>
      <c r="N210" s="223" t="s">
        <v>311</v>
      </c>
      <c r="O210" s="223" t="s">
        <v>313</v>
      </c>
      <c r="P210" s="223" t="s">
        <v>315</v>
      </c>
      <c r="Q210" s="223" t="s">
        <v>407</v>
      </c>
      <c r="R210" s="223" t="s">
        <v>319</v>
      </c>
      <c r="S210" s="223" t="s">
        <v>321</v>
      </c>
      <c r="T210" s="223" t="s">
        <v>323</v>
      </c>
      <c r="U210" s="241" t="s">
        <v>408</v>
      </c>
      <c r="V210" s="13"/>
      <c r="W210" s="13"/>
      <c r="AD210" s="13"/>
      <c r="AE210" s="13"/>
      <c r="AF210" s="13"/>
      <c r="AG210" s="13"/>
    </row>
    <row r="211" ht="15.75" customHeight="1">
      <c r="A211" s="231" t="s">
        <v>417</v>
      </c>
      <c r="B211" s="271">
        <v>221.0</v>
      </c>
      <c r="C211" s="271">
        <v>18487.0</v>
      </c>
      <c r="D211" s="271">
        <v>104.0</v>
      </c>
      <c r="E211" s="271">
        <v>49.0</v>
      </c>
      <c r="F211" s="271">
        <v>0.0</v>
      </c>
      <c r="G211" s="271">
        <v>1.0</v>
      </c>
      <c r="H211" s="271">
        <v>0.0</v>
      </c>
      <c r="I211" s="271">
        <v>0.0</v>
      </c>
      <c r="J211" s="271">
        <v>70.0</v>
      </c>
      <c r="K211" s="271">
        <v>272.0</v>
      </c>
      <c r="L211" s="271">
        <v>187.0</v>
      </c>
      <c r="M211" s="271">
        <v>0.0</v>
      </c>
      <c r="N211" s="271">
        <v>0.0</v>
      </c>
      <c r="O211" s="271">
        <v>3.0</v>
      </c>
      <c r="P211" s="271">
        <v>0.0</v>
      </c>
      <c r="Q211" s="271">
        <v>56.0</v>
      </c>
      <c r="R211" s="271">
        <v>0.0</v>
      </c>
      <c r="S211" s="271">
        <v>0.0</v>
      </c>
      <c r="T211" s="271">
        <v>0.0</v>
      </c>
      <c r="U211" s="272">
        <v>891.0</v>
      </c>
    </row>
    <row r="212" ht="15.75" customHeight="1">
      <c r="A212" s="205" t="s">
        <v>418</v>
      </c>
      <c r="B212" s="271">
        <v>4364.0</v>
      </c>
      <c r="C212" s="271">
        <v>176817.0</v>
      </c>
      <c r="D212" s="271">
        <v>683.0</v>
      </c>
      <c r="E212" s="271">
        <v>797.0</v>
      </c>
      <c r="F212" s="271">
        <v>1100.0</v>
      </c>
      <c r="G212" s="271">
        <v>383.0</v>
      </c>
      <c r="H212" s="271">
        <v>104.0</v>
      </c>
      <c r="I212" s="271">
        <v>268.0</v>
      </c>
      <c r="J212" s="271">
        <v>2385.0</v>
      </c>
      <c r="K212" s="271">
        <v>8880.0</v>
      </c>
      <c r="L212" s="271">
        <v>558.0</v>
      </c>
      <c r="M212" s="271">
        <v>0.0</v>
      </c>
      <c r="N212" s="271">
        <v>0.0</v>
      </c>
      <c r="O212" s="271">
        <v>271.0</v>
      </c>
      <c r="P212" s="271">
        <v>58.0</v>
      </c>
      <c r="Q212" s="271">
        <v>2423.0</v>
      </c>
      <c r="R212" s="271">
        <v>0.0</v>
      </c>
      <c r="S212" s="271">
        <v>0.0</v>
      </c>
      <c r="T212" s="271">
        <v>100.0</v>
      </c>
      <c r="U212" s="272">
        <v>5739.0</v>
      </c>
      <c r="V212" s="47">
        <f>SUM(B211:U221)</f>
        <v>8178971</v>
      </c>
      <c r="W212" s="47">
        <f>SUM(V212:V213)</f>
        <v>16787276</v>
      </c>
    </row>
    <row r="213" ht="15.75" customHeight="1">
      <c r="A213" s="205" t="s">
        <v>391</v>
      </c>
      <c r="B213" s="271">
        <v>6954.0</v>
      </c>
      <c r="C213" s="271">
        <v>283319.0</v>
      </c>
      <c r="D213" s="271">
        <v>2124.0</v>
      </c>
      <c r="E213" s="271">
        <v>1929.0</v>
      </c>
      <c r="F213" s="271">
        <v>1462.0</v>
      </c>
      <c r="G213" s="271">
        <v>482.0</v>
      </c>
      <c r="H213" s="271">
        <v>1925.0</v>
      </c>
      <c r="I213" s="271">
        <v>3028.0</v>
      </c>
      <c r="J213" s="271">
        <v>4284.0</v>
      </c>
      <c r="K213" s="271">
        <v>17217.0</v>
      </c>
      <c r="L213" s="271">
        <v>1426.0</v>
      </c>
      <c r="M213" s="271">
        <v>0.0</v>
      </c>
      <c r="N213" s="271">
        <v>320.0</v>
      </c>
      <c r="O213" s="271">
        <v>350.0</v>
      </c>
      <c r="P213" s="271">
        <v>0.0</v>
      </c>
      <c r="Q213" s="271">
        <v>287.0</v>
      </c>
      <c r="R213" s="271">
        <v>0.0</v>
      </c>
      <c r="S213" s="271">
        <v>14.0</v>
      </c>
      <c r="T213" s="271">
        <v>752.0</v>
      </c>
      <c r="U213" s="272">
        <v>8654.0</v>
      </c>
      <c r="V213" s="47">
        <f>SUM(B225:U235)</f>
        <v>8608305</v>
      </c>
    </row>
    <row r="214" ht="15.75" customHeight="1">
      <c r="A214" s="205" t="s">
        <v>392</v>
      </c>
      <c r="B214" s="271">
        <v>8360.0</v>
      </c>
      <c r="C214" s="271">
        <v>345670.0</v>
      </c>
      <c r="D214" s="271">
        <v>2329.0</v>
      </c>
      <c r="E214" s="271">
        <v>5725.0</v>
      </c>
      <c r="F214" s="271">
        <v>2241.0</v>
      </c>
      <c r="G214" s="271">
        <v>751.0</v>
      </c>
      <c r="H214" s="271">
        <v>1649.0</v>
      </c>
      <c r="I214" s="271">
        <v>1220.0</v>
      </c>
      <c r="J214" s="271">
        <v>6826.0</v>
      </c>
      <c r="K214" s="271">
        <v>22088.0</v>
      </c>
      <c r="L214" s="271">
        <v>2390.0</v>
      </c>
      <c r="M214" s="271">
        <v>0.0</v>
      </c>
      <c r="N214" s="271">
        <v>1730.0</v>
      </c>
      <c r="O214" s="271">
        <v>1267.0</v>
      </c>
      <c r="P214" s="271">
        <v>397.0</v>
      </c>
      <c r="Q214" s="271">
        <v>795.0</v>
      </c>
      <c r="R214" s="271">
        <v>0.0</v>
      </c>
      <c r="S214" s="271">
        <v>103.0</v>
      </c>
      <c r="T214" s="271">
        <v>605.0</v>
      </c>
      <c r="U214" s="272">
        <v>13693.0</v>
      </c>
    </row>
    <row r="215" ht="15.75" customHeight="1">
      <c r="A215" s="205" t="s">
        <v>393</v>
      </c>
      <c r="B215" s="271">
        <v>7548.0</v>
      </c>
      <c r="C215" s="271">
        <v>460958.0</v>
      </c>
      <c r="D215" s="271">
        <v>5191.0</v>
      </c>
      <c r="E215" s="271">
        <v>14825.0</v>
      </c>
      <c r="F215" s="271">
        <v>959.0</v>
      </c>
      <c r="G215" s="271">
        <v>1697.0</v>
      </c>
      <c r="H215" s="271">
        <v>2685.0</v>
      </c>
      <c r="I215" s="271">
        <v>6233.0</v>
      </c>
      <c r="J215" s="271">
        <v>11776.0</v>
      </c>
      <c r="K215" s="271">
        <v>44902.0</v>
      </c>
      <c r="L215" s="271">
        <v>3822.0</v>
      </c>
      <c r="M215" s="271">
        <v>0.0</v>
      </c>
      <c r="N215" s="271">
        <v>2500.0</v>
      </c>
      <c r="O215" s="271">
        <v>1487.0</v>
      </c>
      <c r="P215" s="271">
        <v>240.0</v>
      </c>
      <c r="Q215" s="271">
        <v>8583.0</v>
      </c>
      <c r="R215" s="271">
        <v>0.0</v>
      </c>
      <c r="S215" s="271">
        <v>61.0</v>
      </c>
      <c r="T215" s="271">
        <v>884.0</v>
      </c>
      <c r="U215" s="272">
        <v>21797.0</v>
      </c>
    </row>
    <row r="216" ht="15.75" customHeight="1">
      <c r="A216" s="205" t="s">
        <v>394</v>
      </c>
      <c r="B216" s="271">
        <v>12328.0</v>
      </c>
      <c r="C216" s="271">
        <v>615798.0</v>
      </c>
      <c r="D216" s="271">
        <v>10464.0</v>
      </c>
      <c r="E216" s="271">
        <v>34215.0</v>
      </c>
      <c r="F216" s="271">
        <v>4135.0</v>
      </c>
      <c r="G216" s="271">
        <v>2108.0</v>
      </c>
      <c r="H216" s="271">
        <v>7564.0</v>
      </c>
      <c r="I216" s="271">
        <v>11742.0</v>
      </c>
      <c r="J216" s="271">
        <v>19410.0</v>
      </c>
      <c r="K216" s="271">
        <v>83559.0</v>
      </c>
      <c r="L216" s="271">
        <v>6669.0</v>
      </c>
      <c r="M216" s="271">
        <v>0.0</v>
      </c>
      <c r="N216" s="271">
        <v>5408.0</v>
      </c>
      <c r="O216" s="271">
        <v>1440.0</v>
      </c>
      <c r="P216" s="271">
        <v>2435.0</v>
      </c>
      <c r="Q216" s="271">
        <v>5443.0</v>
      </c>
      <c r="R216" s="271">
        <v>0.0</v>
      </c>
      <c r="S216" s="271">
        <v>93.0</v>
      </c>
      <c r="T216" s="271">
        <v>6898.0</v>
      </c>
      <c r="U216" s="272">
        <v>45141.0</v>
      </c>
    </row>
    <row r="217" ht="15.75" customHeight="1">
      <c r="A217" s="205" t="s">
        <v>395</v>
      </c>
      <c r="B217" s="271">
        <v>12409.0</v>
      </c>
      <c r="C217" s="271">
        <v>574841.0</v>
      </c>
      <c r="D217" s="271">
        <v>16062.0</v>
      </c>
      <c r="E217" s="271">
        <v>63785.0</v>
      </c>
      <c r="F217" s="271">
        <v>6486.0</v>
      </c>
      <c r="G217" s="271">
        <v>5187.0</v>
      </c>
      <c r="H217" s="271">
        <v>9840.0</v>
      </c>
      <c r="I217" s="271">
        <v>6912.0</v>
      </c>
      <c r="J217" s="271">
        <v>19382.0</v>
      </c>
      <c r="K217" s="271">
        <v>131868.0</v>
      </c>
      <c r="L217" s="271">
        <v>10284.0</v>
      </c>
      <c r="M217" s="271">
        <v>0.0</v>
      </c>
      <c r="N217" s="271">
        <v>7048.0</v>
      </c>
      <c r="O217" s="271">
        <v>1617.0</v>
      </c>
      <c r="P217" s="271">
        <v>4736.0</v>
      </c>
      <c r="Q217" s="271">
        <v>12894.0</v>
      </c>
      <c r="R217" s="271">
        <v>0.0</v>
      </c>
      <c r="S217" s="271">
        <v>2458.0</v>
      </c>
      <c r="T217" s="271">
        <v>8860.0</v>
      </c>
      <c r="U217" s="272">
        <v>60751.0</v>
      </c>
    </row>
    <row r="218" ht="15.75" customHeight="1">
      <c r="A218" s="205" t="s">
        <v>396</v>
      </c>
      <c r="B218" s="271">
        <v>14415.0</v>
      </c>
      <c r="C218" s="271">
        <v>641056.0</v>
      </c>
      <c r="D218" s="271">
        <v>22940.0</v>
      </c>
      <c r="E218" s="271">
        <v>134975.0</v>
      </c>
      <c r="F218" s="271">
        <v>8219.0</v>
      </c>
      <c r="G218" s="271">
        <v>3304.0</v>
      </c>
      <c r="H218" s="271">
        <v>21073.0</v>
      </c>
      <c r="I218" s="271">
        <v>11380.0</v>
      </c>
      <c r="J218" s="271">
        <v>21635.0</v>
      </c>
      <c r="K218" s="271">
        <v>239261.0</v>
      </c>
      <c r="L218" s="271">
        <v>9770.0</v>
      </c>
      <c r="M218" s="271">
        <v>0.0</v>
      </c>
      <c r="N218" s="271">
        <v>16756.0</v>
      </c>
      <c r="O218" s="271">
        <v>2029.0</v>
      </c>
      <c r="P218" s="271">
        <v>8517.0</v>
      </c>
      <c r="Q218" s="271">
        <v>27373.0</v>
      </c>
      <c r="R218" s="271">
        <v>0.0</v>
      </c>
      <c r="S218" s="271">
        <v>1643.0</v>
      </c>
      <c r="T218" s="271">
        <v>6843.0</v>
      </c>
      <c r="U218" s="272">
        <v>76042.0</v>
      </c>
    </row>
    <row r="219" ht="15.75" customHeight="1">
      <c r="A219" s="205" t="s">
        <v>397</v>
      </c>
      <c r="B219" s="271">
        <v>17065.0</v>
      </c>
      <c r="C219" s="271">
        <v>704706.0</v>
      </c>
      <c r="D219" s="271">
        <v>34052.0</v>
      </c>
      <c r="E219" s="271">
        <v>166220.0</v>
      </c>
      <c r="F219" s="271">
        <v>11442.0</v>
      </c>
      <c r="G219" s="271">
        <v>3844.0</v>
      </c>
      <c r="H219" s="271">
        <v>30487.0</v>
      </c>
      <c r="I219" s="271">
        <v>2864.0</v>
      </c>
      <c r="J219" s="271">
        <v>23583.0</v>
      </c>
      <c r="K219" s="271">
        <v>346327.0</v>
      </c>
      <c r="L219" s="271">
        <v>14327.0</v>
      </c>
      <c r="M219" s="271">
        <v>219.0</v>
      </c>
      <c r="N219" s="271">
        <v>19920.0</v>
      </c>
      <c r="O219" s="271">
        <v>1458.0</v>
      </c>
      <c r="P219" s="271">
        <v>8339.0</v>
      </c>
      <c r="Q219" s="271">
        <v>29750.0</v>
      </c>
      <c r="R219" s="271">
        <v>0.0</v>
      </c>
      <c r="S219" s="271">
        <v>1491.0</v>
      </c>
      <c r="T219" s="271">
        <v>18114.0</v>
      </c>
      <c r="U219" s="272">
        <v>85964.0</v>
      </c>
    </row>
    <row r="220" ht="15.75" customHeight="1">
      <c r="A220" s="205" t="s">
        <v>398</v>
      </c>
      <c r="B220" s="271">
        <v>13009.0</v>
      </c>
      <c r="C220" s="271">
        <v>788072.0</v>
      </c>
      <c r="D220" s="271">
        <v>30382.0</v>
      </c>
      <c r="E220" s="271">
        <v>219654.0</v>
      </c>
      <c r="F220" s="271">
        <v>9360.0</v>
      </c>
      <c r="G220" s="271">
        <v>4043.0</v>
      </c>
      <c r="H220" s="271">
        <v>37652.0</v>
      </c>
      <c r="I220" s="271">
        <v>1660.0</v>
      </c>
      <c r="J220" s="271">
        <v>20897.0</v>
      </c>
      <c r="K220" s="271">
        <v>456559.0</v>
      </c>
      <c r="L220" s="271">
        <v>14160.0</v>
      </c>
      <c r="M220" s="271">
        <v>61.0</v>
      </c>
      <c r="N220" s="271">
        <v>27423.0</v>
      </c>
      <c r="O220" s="271">
        <v>3917.0</v>
      </c>
      <c r="P220" s="271">
        <v>13325.0</v>
      </c>
      <c r="Q220" s="271">
        <v>38706.0</v>
      </c>
      <c r="R220" s="271">
        <v>0.0</v>
      </c>
      <c r="S220" s="271">
        <v>2719.0</v>
      </c>
      <c r="T220" s="271">
        <v>16299.0</v>
      </c>
      <c r="U220" s="272">
        <v>96962.0</v>
      </c>
    </row>
    <row r="221" ht="15.75" customHeight="1">
      <c r="A221" s="210" t="s">
        <v>399</v>
      </c>
      <c r="B221" s="279">
        <v>1905.0</v>
      </c>
      <c r="C221" s="279">
        <v>52790.0</v>
      </c>
      <c r="D221" s="279">
        <v>3986.0</v>
      </c>
      <c r="E221" s="279">
        <v>33191.0</v>
      </c>
      <c r="F221" s="279">
        <v>1408.0</v>
      </c>
      <c r="G221" s="279">
        <v>788.0</v>
      </c>
      <c r="H221" s="279">
        <v>5672.0</v>
      </c>
      <c r="I221" s="279">
        <v>0.0</v>
      </c>
      <c r="J221" s="279">
        <v>4593.0</v>
      </c>
      <c r="K221" s="279">
        <v>54092.0</v>
      </c>
      <c r="L221" s="279">
        <v>1766.0</v>
      </c>
      <c r="M221" s="279">
        <v>0.0</v>
      </c>
      <c r="N221" s="279">
        <v>3334.0</v>
      </c>
      <c r="O221" s="279">
        <v>99.0</v>
      </c>
      <c r="P221" s="279">
        <v>3902.0</v>
      </c>
      <c r="Q221" s="279">
        <v>10220.0</v>
      </c>
      <c r="R221" s="279">
        <v>0.0</v>
      </c>
      <c r="S221" s="279">
        <v>1254.0</v>
      </c>
      <c r="T221" s="279">
        <v>3701.0</v>
      </c>
      <c r="U221" s="280">
        <v>9952.0</v>
      </c>
    </row>
    <row r="222" ht="15.75" customHeight="1"/>
    <row r="223" ht="15.75" customHeight="1">
      <c r="A223" s="269" t="s">
        <v>426</v>
      </c>
      <c r="B223" s="269"/>
      <c r="C223" s="269"/>
      <c r="D223" s="269"/>
      <c r="E223" s="269"/>
      <c r="F223" s="269"/>
      <c r="G223" s="269"/>
      <c r="H223" s="163"/>
      <c r="I223" s="163"/>
    </row>
    <row r="224" ht="15.75" customHeight="1">
      <c r="A224" s="222" t="s">
        <v>404</v>
      </c>
      <c r="B224" s="223" t="s">
        <v>288</v>
      </c>
      <c r="C224" s="223" t="s">
        <v>405</v>
      </c>
      <c r="D224" s="223" t="s">
        <v>292</v>
      </c>
      <c r="E224" s="223" t="s">
        <v>294</v>
      </c>
      <c r="F224" s="223" t="s">
        <v>296</v>
      </c>
      <c r="G224" s="223" t="s">
        <v>298</v>
      </c>
      <c r="H224" s="223" t="s">
        <v>300</v>
      </c>
      <c r="I224" s="223" t="s">
        <v>89</v>
      </c>
      <c r="J224" s="223" t="s">
        <v>303</v>
      </c>
      <c r="K224" s="223" t="s">
        <v>305</v>
      </c>
      <c r="L224" s="223" t="s">
        <v>307</v>
      </c>
      <c r="M224" s="223" t="s">
        <v>406</v>
      </c>
      <c r="N224" s="223" t="s">
        <v>311</v>
      </c>
      <c r="O224" s="223" t="s">
        <v>313</v>
      </c>
      <c r="P224" s="223" t="s">
        <v>315</v>
      </c>
      <c r="Q224" s="223" t="s">
        <v>407</v>
      </c>
      <c r="R224" s="223" t="s">
        <v>319</v>
      </c>
      <c r="S224" s="223" t="s">
        <v>321</v>
      </c>
      <c r="T224" s="223" t="s">
        <v>323</v>
      </c>
      <c r="U224" s="241" t="s">
        <v>408</v>
      </c>
    </row>
    <row r="225" ht="15.75" customHeight="1">
      <c r="A225" s="281" t="s">
        <v>417</v>
      </c>
      <c r="B225" s="271">
        <v>389.0</v>
      </c>
      <c r="C225" s="271">
        <v>16639.0</v>
      </c>
      <c r="D225" s="271">
        <v>346.0</v>
      </c>
      <c r="E225" s="271">
        <v>0.0</v>
      </c>
      <c r="F225" s="271">
        <v>0.0</v>
      </c>
      <c r="G225" s="271">
        <v>2.0</v>
      </c>
      <c r="H225" s="271">
        <v>0.0</v>
      </c>
      <c r="I225" s="271">
        <v>0.0</v>
      </c>
      <c r="J225" s="271">
        <v>274.0</v>
      </c>
      <c r="K225" s="271">
        <v>434.0</v>
      </c>
      <c r="L225" s="271">
        <v>24.0</v>
      </c>
      <c r="M225" s="271">
        <v>0.0</v>
      </c>
      <c r="N225" s="271">
        <v>0.0</v>
      </c>
      <c r="O225" s="271">
        <v>62.0</v>
      </c>
      <c r="P225" s="271">
        <v>0.0</v>
      </c>
      <c r="Q225" s="271">
        <v>140.0</v>
      </c>
      <c r="R225" s="271">
        <v>161.0</v>
      </c>
      <c r="S225" s="271">
        <v>0.0</v>
      </c>
      <c r="T225" s="271">
        <v>0.0</v>
      </c>
      <c r="U225" s="272">
        <v>160.0</v>
      </c>
    </row>
    <row r="226" ht="15.75" customHeight="1">
      <c r="A226" s="205" t="s">
        <v>418</v>
      </c>
      <c r="B226" s="271">
        <v>4433.0</v>
      </c>
      <c r="C226" s="271">
        <v>154471.0</v>
      </c>
      <c r="D226" s="271">
        <v>796.0</v>
      </c>
      <c r="E226" s="271">
        <v>346.0</v>
      </c>
      <c r="F226" s="271">
        <v>380.0</v>
      </c>
      <c r="G226" s="271">
        <v>349.0</v>
      </c>
      <c r="H226" s="271">
        <v>482.0</v>
      </c>
      <c r="I226" s="271">
        <v>2148.0</v>
      </c>
      <c r="J226" s="271">
        <v>4744.0</v>
      </c>
      <c r="K226" s="271">
        <v>5523.0</v>
      </c>
      <c r="L226" s="271">
        <v>315.0</v>
      </c>
      <c r="M226" s="271">
        <v>290.0</v>
      </c>
      <c r="N226" s="271">
        <v>24.0</v>
      </c>
      <c r="O226" s="271">
        <v>1190.0</v>
      </c>
      <c r="P226" s="271">
        <v>0.0</v>
      </c>
      <c r="Q226" s="271">
        <v>457.0</v>
      </c>
      <c r="R226" s="271">
        <v>3191.0</v>
      </c>
      <c r="S226" s="271">
        <v>0.0</v>
      </c>
      <c r="T226" s="271">
        <v>3.0</v>
      </c>
      <c r="U226" s="272">
        <v>3744.0</v>
      </c>
    </row>
    <row r="227" ht="15.75" customHeight="1">
      <c r="A227" s="205" t="s">
        <v>391</v>
      </c>
      <c r="B227" s="271">
        <v>7362.0</v>
      </c>
      <c r="C227" s="271">
        <v>227415.0</v>
      </c>
      <c r="D227" s="271">
        <v>1179.0</v>
      </c>
      <c r="E227" s="271">
        <v>1159.0</v>
      </c>
      <c r="F227" s="271">
        <v>1680.0</v>
      </c>
      <c r="G227" s="271">
        <v>1235.0</v>
      </c>
      <c r="H227" s="271">
        <v>1023.0</v>
      </c>
      <c r="I227" s="271">
        <v>3312.0</v>
      </c>
      <c r="J227" s="271">
        <v>9043.0</v>
      </c>
      <c r="K227" s="271">
        <v>9775.0</v>
      </c>
      <c r="L227" s="271">
        <v>1105.0</v>
      </c>
      <c r="M227" s="271">
        <v>976.0</v>
      </c>
      <c r="N227" s="271">
        <v>307.0</v>
      </c>
      <c r="O227" s="271">
        <v>6946.0</v>
      </c>
      <c r="P227" s="271">
        <v>472.0</v>
      </c>
      <c r="Q227" s="271">
        <v>465.0</v>
      </c>
      <c r="R227" s="271">
        <v>5652.0</v>
      </c>
      <c r="S227" s="271">
        <v>230.0</v>
      </c>
      <c r="T227" s="271">
        <v>6.0</v>
      </c>
      <c r="U227" s="272">
        <v>5643.0</v>
      </c>
    </row>
    <row r="228" ht="15.75" customHeight="1">
      <c r="A228" s="205" t="s">
        <v>392</v>
      </c>
      <c r="B228" s="271">
        <v>8773.0</v>
      </c>
      <c r="C228" s="271">
        <v>277691.0</v>
      </c>
      <c r="D228" s="271">
        <v>2321.0</v>
      </c>
      <c r="E228" s="271">
        <v>1562.0</v>
      </c>
      <c r="F228" s="271">
        <v>1932.0</v>
      </c>
      <c r="G228" s="271">
        <v>253.0</v>
      </c>
      <c r="H228" s="271">
        <v>619.0</v>
      </c>
      <c r="I228" s="271">
        <v>10655.0</v>
      </c>
      <c r="J228" s="271">
        <v>16577.0</v>
      </c>
      <c r="K228" s="271">
        <v>13272.0</v>
      </c>
      <c r="L228" s="271">
        <v>1268.0</v>
      </c>
      <c r="M228" s="271">
        <v>234.0</v>
      </c>
      <c r="N228" s="271">
        <v>907.0</v>
      </c>
      <c r="O228" s="271">
        <v>17891.0</v>
      </c>
      <c r="P228" s="271">
        <v>1461.0</v>
      </c>
      <c r="Q228" s="271">
        <v>2135.0</v>
      </c>
      <c r="R228" s="271">
        <v>7029.0</v>
      </c>
      <c r="S228" s="271">
        <v>378.0</v>
      </c>
      <c r="T228" s="271">
        <v>657.0</v>
      </c>
      <c r="U228" s="272">
        <v>9213.0</v>
      </c>
    </row>
    <row r="229" ht="15.75" customHeight="1">
      <c r="A229" s="205" t="s">
        <v>393</v>
      </c>
      <c r="B229" s="271">
        <v>15742.0</v>
      </c>
      <c r="C229" s="271">
        <v>453499.0</v>
      </c>
      <c r="D229" s="271">
        <v>3056.0</v>
      </c>
      <c r="E229" s="271">
        <v>4131.0</v>
      </c>
      <c r="F229" s="271">
        <v>1752.0</v>
      </c>
      <c r="G229" s="271">
        <v>1678.0</v>
      </c>
      <c r="H229" s="271">
        <v>2405.0</v>
      </c>
      <c r="I229" s="271">
        <v>13493.0</v>
      </c>
      <c r="J229" s="271">
        <v>28534.0</v>
      </c>
      <c r="K229" s="271">
        <v>32966.0</v>
      </c>
      <c r="L229" s="271">
        <v>4015.0</v>
      </c>
      <c r="M229" s="271">
        <v>1923.0</v>
      </c>
      <c r="N229" s="271">
        <v>2040.0</v>
      </c>
      <c r="O229" s="271">
        <v>50226.0</v>
      </c>
      <c r="P229" s="271">
        <v>1430.0</v>
      </c>
      <c r="Q229" s="271">
        <v>4156.0</v>
      </c>
      <c r="R229" s="271">
        <v>9656.0</v>
      </c>
      <c r="S229" s="271">
        <v>264.0</v>
      </c>
      <c r="T229" s="271">
        <v>704.0</v>
      </c>
      <c r="U229" s="272">
        <v>15983.0</v>
      </c>
    </row>
    <row r="230" ht="15.75" customHeight="1">
      <c r="A230" s="205" t="s">
        <v>394</v>
      </c>
      <c r="B230" s="271">
        <v>22724.0</v>
      </c>
      <c r="C230" s="271">
        <v>772462.0</v>
      </c>
      <c r="D230" s="271">
        <v>3731.0</v>
      </c>
      <c r="E230" s="271">
        <v>11036.0</v>
      </c>
      <c r="F230" s="271">
        <v>4220.0</v>
      </c>
      <c r="G230" s="271">
        <v>3182.0</v>
      </c>
      <c r="H230" s="271">
        <v>6382.0</v>
      </c>
      <c r="I230" s="271">
        <v>18893.0</v>
      </c>
      <c r="J230" s="271">
        <v>44585.0</v>
      </c>
      <c r="K230" s="271">
        <v>89392.0</v>
      </c>
      <c r="L230" s="271">
        <v>6376.0</v>
      </c>
      <c r="M230" s="271">
        <v>6698.0</v>
      </c>
      <c r="N230" s="271">
        <v>2416.0</v>
      </c>
      <c r="O230" s="271">
        <v>98396.0</v>
      </c>
      <c r="P230" s="271">
        <v>1829.0</v>
      </c>
      <c r="Q230" s="271">
        <v>9993.0</v>
      </c>
      <c r="R230" s="271">
        <v>18106.0</v>
      </c>
      <c r="S230" s="271">
        <v>1060.0</v>
      </c>
      <c r="T230" s="271">
        <v>1208.0</v>
      </c>
      <c r="U230" s="272">
        <v>41234.0</v>
      </c>
    </row>
    <row r="231" ht="15.75" customHeight="1">
      <c r="A231" s="205" t="s">
        <v>395</v>
      </c>
      <c r="B231" s="271">
        <v>28491.0</v>
      </c>
      <c r="C231" s="271">
        <v>865001.0</v>
      </c>
      <c r="D231" s="271">
        <v>7010.0</v>
      </c>
      <c r="E231" s="271">
        <v>18896.0</v>
      </c>
      <c r="F231" s="271">
        <v>4254.0</v>
      </c>
      <c r="G231" s="271">
        <v>3118.0</v>
      </c>
      <c r="H231" s="271">
        <v>8754.0</v>
      </c>
      <c r="I231" s="271">
        <v>18223.0</v>
      </c>
      <c r="J231" s="271">
        <v>42260.0</v>
      </c>
      <c r="K231" s="271">
        <v>157413.0</v>
      </c>
      <c r="L231" s="271">
        <v>9503.0</v>
      </c>
      <c r="M231" s="271">
        <v>11054.0</v>
      </c>
      <c r="N231" s="271">
        <v>4901.0</v>
      </c>
      <c r="O231" s="271">
        <v>156887.0</v>
      </c>
      <c r="P231" s="271">
        <v>2874.0</v>
      </c>
      <c r="Q231" s="271">
        <v>12167.0</v>
      </c>
      <c r="R231" s="271">
        <v>26552.0</v>
      </c>
      <c r="S231" s="271">
        <v>1241.0</v>
      </c>
      <c r="T231" s="271">
        <v>1470.0</v>
      </c>
      <c r="U231" s="272">
        <v>56973.0</v>
      </c>
    </row>
    <row r="232" ht="15.75" customHeight="1">
      <c r="A232" s="205" t="s">
        <v>396</v>
      </c>
      <c r="B232" s="271">
        <v>30015.0</v>
      </c>
      <c r="C232" s="271">
        <v>967375.0</v>
      </c>
      <c r="D232" s="271">
        <v>14740.0</v>
      </c>
      <c r="E232" s="271">
        <v>30164.0</v>
      </c>
      <c r="F232" s="271">
        <v>5426.0</v>
      </c>
      <c r="G232" s="271">
        <v>4855.0</v>
      </c>
      <c r="H232" s="271">
        <v>15418.0</v>
      </c>
      <c r="I232" s="271">
        <v>11336.0</v>
      </c>
      <c r="J232" s="271">
        <v>43231.0</v>
      </c>
      <c r="K232" s="271">
        <v>284319.0</v>
      </c>
      <c r="L232" s="271">
        <v>7357.0</v>
      </c>
      <c r="M232" s="271">
        <v>14519.0</v>
      </c>
      <c r="N232" s="271">
        <v>7430.0</v>
      </c>
      <c r="O232" s="271">
        <v>153776.0</v>
      </c>
      <c r="P232" s="271">
        <v>8298.0</v>
      </c>
      <c r="Q232" s="271">
        <v>19828.0</v>
      </c>
      <c r="R232" s="271">
        <v>23949.0</v>
      </c>
      <c r="S232" s="271">
        <v>2023.0</v>
      </c>
      <c r="T232" s="271">
        <v>3522.0</v>
      </c>
      <c r="U232" s="272">
        <v>71420.0</v>
      </c>
    </row>
    <row r="233" ht="15.75" customHeight="1">
      <c r="A233" s="205" t="s">
        <v>397</v>
      </c>
      <c r="B233" s="271">
        <v>34459.0</v>
      </c>
      <c r="C233" s="271">
        <v>1029838.0</v>
      </c>
      <c r="D233" s="271">
        <v>12817.0</v>
      </c>
      <c r="E233" s="271">
        <v>47152.0</v>
      </c>
      <c r="F233" s="271">
        <v>5107.0</v>
      </c>
      <c r="G233" s="271">
        <v>5426.0</v>
      </c>
      <c r="H233" s="271">
        <v>12913.0</v>
      </c>
      <c r="I233" s="271">
        <v>10903.0</v>
      </c>
      <c r="J233" s="271">
        <v>43891.0</v>
      </c>
      <c r="K233" s="271">
        <v>430577.0</v>
      </c>
      <c r="L233" s="271">
        <v>6437.0</v>
      </c>
      <c r="M233" s="271">
        <v>22269.0</v>
      </c>
      <c r="N233" s="271">
        <v>10720.0</v>
      </c>
      <c r="O233" s="271">
        <v>138906.0</v>
      </c>
      <c r="P233" s="271">
        <v>13490.0</v>
      </c>
      <c r="Q233" s="271">
        <v>17163.0</v>
      </c>
      <c r="R233" s="271">
        <v>23372.0</v>
      </c>
      <c r="S233" s="271">
        <v>4324.0</v>
      </c>
      <c r="T233" s="271">
        <v>4925.0</v>
      </c>
      <c r="U233" s="272">
        <v>79221.0</v>
      </c>
    </row>
    <row r="234" ht="15.75" customHeight="1">
      <c r="A234" s="205" t="s">
        <v>398</v>
      </c>
      <c r="B234" s="271">
        <v>10609.0</v>
      </c>
      <c r="C234" s="271">
        <v>322388.0</v>
      </c>
      <c r="D234" s="271">
        <v>4362.0</v>
      </c>
      <c r="E234" s="271">
        <v>19466.0</v>
      </c>
      <c r="F234" s="271">
        <v>4250.0</v>
      </c>
      <c r="G234" s="271">
        <v>1919.0</v>
      </c>
      <c r="H234" s="271">
        <v>6770.0</v>
      </c>
      <c r="I234" s="271">
        <v>2024.0</v>
      </c>
      <c r="J234" s="271">
        <v>11956.0</v>
      </c>
      <c r="K234" s="271">
        <v>169852.0</v>
      </c>
      <c r="L234" s="271">
        <v>4136.0</v>
      </c>
      <c r="M234" s="271">
        <v>9585.0</v>
      </c>
      <c r="N234" s="271">
        <v>9502.0</v>
      </c>
      <c r="O234" s="271">
        <v>63037.0</v>
      </c>
      <c r="P234" s="271">
        <v>4865.0</v>
      </c>
      <c r="Q234" s="271">
        <v>12692.0</v>
      </c>
      <c r="R234" s="271">
        <v>13133.0</v>
      </c>
      <c r="S234" s="271">
        <v>1589.0</v>
      </c>
      <c r="T234" s="271">
        <v>4064.0</v>
      </c>
      <c r="U234" s="272">
        <v>31529.0</v>
      </c>
    </row>
    <row r="235" ht="15.75" customHeight="1">
      <c r="A235" s="210" t="s">
        <v>399</v>
      </c>
      <c r="B235" s="279">
        <v>2048.0</v>
      </c>
      <c r="C235" s="279">
        <v>34395.0</v>
      </c>
      <c r="D235" s="279">
        <v>414.0</v>
      </c>
      <c r="E235" s="279">
        <v>5547.0</v>
      </c>
      <c r="F235" s="279">
        <v>221.0</v>
      </c>
      <c r="G235" s="279">
        <v>349.0</v>
      </c>
      <c r="H235" s="279">
        <v>2199.0</v>
      </c>
      <c r="I235" s="279">
        <v>88.0</v>
      </c>
      <c r="J235" s="279">
        <v>3454.0</v>
      </c>
      <c r="K235" s="279">
        <v>40387.0</v>
      </c>
      <c r="L235" s="279">
        <v>1378.0</v>
      </c>
      <c r="M235" s="279">
        <v>2326.0</v>
      </c>
      <c r="N235" s="279">
        <v>1249.0</v>
      </c>
      <c r="O235" s="279">
        <v>9937.0</v>
      </c>
      <c r="P235" s="279">
        <v>1243.0</v>
      </c>
      <c r="Q235" s="279">
        <v>2925.0</v>
      </c>
      <c r="R235" s="279">
        <v>2710.0</v>
      </c>
      <c r="S235" s="279">
        <v>241.0</v>
      </c>
      <c r="T235" s="279">
        <v>1367.0</v>
      </c>
      <c r="U235" s="280">
        <v>5240.0</v>
      </c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autoFilter ref="$X$28:$AB$44">
    <sortState ref="X28:AB44">
      <sortCondition descending="1" ref="AB28:AB44"/>
    </sortState>
  </autoFilter>
  <mergeCells count="23">
    <mergeCell ref="B3:C3"/>
    <mergeCell ref="D3:F3"/>
    <mergeCell ref="G3:H3"/>
    <mergeCell ref="B10:G10"/>
    <mergeCell ref="H10:I10"/>
    <mergeCell ref="J10:M10"/>
    <mergeCell ref="N10:O10"/>
    <mergeCell ref="P11:S11"/>
    <mergeCell ref="Y47:Z47"/>
    <mergeCell ref="AA47:AB47"/>
    <mergeCell ref="AC47:AD47"/>
    <mergeCell ref="AE47:AF47"/>
    <mergeCell ref="A55:C55"/>
    <mergeCell ref="A68:C68"/>
    <mergeCell ref="A83:C83"/>
    <mergeCell ref="A96:C96"/>
    <mergeCell ref="B11:C11"/>
    <mergeCell ref="D11:E11"/>
    <mergeCell ref="F11:G11"/>
    <mergeCell ref="H11:I11"/>
    <mergeCell ref="J11:K11"/>
    <mergeCell ref="L11:M11"/>
    <mergeCell ref="N11:O11"/>
  </mergeCells>
  <printOptions/>
  <pageMargins bottom="0.787401575" footer="0.0" header="0.0" left="0.7" right="0.7" top="0.7874015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1.13"/>
    <col customWidth="1" min="2" max="7" width="13.25"/>
    <col customWidth="1" min="8" max="8" width="8.0"/>
  </cols>
  <sheetData>
    <row r="1" ht="15.75" customHeight="1">
      <c r="A1" s="13" t="s">
        <v>427</v>
      </c>
    </row>
    <row r="2" ht="15.75" customHeight="1">
      <c r="B2" s="288" t="s">
        <v>428</v>
      </c>
      <c r="C2" s="289"/>
      <c r="D2" s="289"/>
      <c r="E2" s="288" t="s">
        <v>429</v>
      </c>
      <c r="F2" s="289"/>
      <c r="G2" s="289"/>
    </row>
    <row r="3" ht="15.75" customHeight="1">
      <c r="A3" s="290"/>
      <c r="B3" s="291" t="s">
        <v>430</v>
      </c>
      <c r="C3" s="292" t="s">
        <v>431</v>
      </c>
      <c r="D3" s="293" t="s">
        <v>432</v>
      </c>
      <c r="E3" s="291" t="s">
        <v>430</v>
      </c>
      <c r="F3" s="292" t="s">
        <v>431</v>
      </c>
      <c r="G3" s="293" t="s">
        <v>432</v>
      </c>
    </row>
    <row r="4" ht="15.75" customHeight="1">
      <c r="A4" s="294" t="s">
        <v>174</v>
      </c>
      <c r="B4" s="198">
        <v>1.0</v>
      </c>
      <c r="C4" s="198">
        <v>2.0</v>
      </c>
      <c r="D4" s="295">
        <v>3.0</v>
      </c>
      <c r="E4" s="198">
        <v>1.0</v>
      </c>
      <c r="F4" s="198">
        <v>2.0</v>
      </c>
      <c r="G4" s="295">
        <v>3.0</v>
      </c>
    </row>
    <row r="5" ht="15.75" customHeight="1">
      <c r="A5" s="296" t="s">
        <v>284</v>
      </c>
      <c r="B5" s="297"/>
      <c r="C5" s="298"/>
      <c r="D5" s="71"/>
      <c r="E5" s="297"/>
      <c r="F5" s="298"/>
      <c r="G5" s="71"/>
    </row>
    <row r="6" ht="15.75" customHeight="1">
      <c r="A6" s="299" t="s">
        <v>433</v>
      </c>
      <c r="B6" s="300">
        <f>B4*'Pomocná data IV.Mzdy a další př'!$C$22</f>
        <v>2191.299624</v>
      </c>
      <c r="C6" s="301">
        <f>C4*'Pomocná data IV.Mzdy a další př'!$C$22</f>
        <v>4382.599248</v>
      </c>
      <c r="D6" s="302">
        <f>D4*'Pomocná data IV.Mzdy a další př'!$C$22</f>
        <v>6573.898872</v>
      </c>
      <c r="E6" s="300">
        <f>E4*'Pomocná data IV.Mzdy a další př'!$B$22</f>
        <v>1826.135235</v>
      </c>
      <c r="F6" s="301">
        <f>F4*'Pomocná data IV.Mzdy a další př'!$B$22</f>
        <v>3652.270469</v>
      </c>
      <c r="G6" s="302">
        <f>G4*'Pomocná data IV.Mzdy a další př'!$B$22</f>
        <v>5478.405704</v>
      </c>
    </row>
    <row r="7" ht="15.75" customHeight="1">
      <c r="A7" s="299" t="s">
        <v>434</v>
      </c>
      <c r="B7" s="300">
        <f t="shared" ref="B7:G7" si="1">B6*$C$15</f>
        <v>1173973434</v>
      </c>
      <c r="C7" s="301">
        <f t="shared" si="1"/>
        <v>2347946869</v>
      </c>
      <c r="D7" s="302">
        <f t="shared" si="1"/>
        <v>3521920303</v>
      </c>
      <c r="E7" s="300">
        <f t="shared" si="1"/>
        <v>978339169</v>
      </c>
      <c r="F7" s="301">
        <f t="shared" si="1"/>
        <v>1956678338</v>
      </c>
      <c r="G7" s="302">
        <f t="shared" si="1"/>
        <v>2935017507</v>
      </c>
      <c r="H7" s="198"/>
    </row>
    <row r="8" ht="15.75" customHeight="1">
      <c r="A8" s="303" t="s">
        <v>283</v>
      </c>
      <c r="B8" s="297"/>
      <c r="C8" s="298"/>
      <c r="D8" s="71"/>
      <c r="E8" s="297"/>
      <c r="F8" s="298"/>
      <c r="G8" s="71"/>
    </row>
    <row r="9" ht="15.75" customHeight="1">
      <c r="A9" s="294" t="s">
        <v>433</v>
      </c>
      <c r="B9" s="300">
        <f>B4*'Pomocná data IV.Mzdy a další př'!$C$21</f>
        <v>2524.524803</v>
      </c>
      <c r="C9" s="301">
        <f>C4*'Pomocná data IV.Mzdy a další př'!$C$21</f>
        <v>5049.049606</v>
      </c>
      <c r="D9" s="302">
        <f>D4*'Pomocná data IV.Mzdy a další př'!$C$21</f>
        <v>7573.574409</v>
      </c>
      <c r="E9" s="300">
        <f>E4*'Pomocná data IV.Mzdy a další př'!$B$21</f>
        <v>2281.081877</v>
      </c>
      <c r="F9" s="301">
        <f>F4*'Pomocná data IV.Mzdy a další př'!$B$21</f>
        <v>4562.163753</v>
      </c>
      <c r="G9" s="302">
        <f>G4*'Pomocná data IV.Mzdy a další př'!$B$21</f>
        <v>6843.24563</v>
      </c>
    </row>
    <row r="10" ht="15.75" customHeight="1">
      <c r="A10" s="294" t="s">
        <v>434</v>
      </c>
      <c r="B10" s="300">
        <f t="shared" ref="B10:G10" si="2">B9*$B$15</f>
        <v>1984253774</v>
      </c>
      <c r="C10" s="301">
        <f t="shared" si="2"/>
        <v>3968507549</v>
      </c>
      <c r="D10" s="302">
        <f t="shared" si="2"/>
        <v>5952761323</v>
      </c>
      <c r="E10" s="300">
        <f t="shared" si="2"/>
        <v>1792909825</v>
      </c>
      <c r="F10" s="301">
        <f t="shared" si="2"/>
        <v>3585819651</v>
      </c>
      <c r="G10" s="302">
        <f t="shared" si="2"/>
        <v>5378729476</v>
      </c>
    </row>
    <row r="11" ht="15.75" customHeight="1">
      <c r="A11" s="296" t="s">
        <v>435</v>
      </c>
      <c r="B11" s="304">
        <f t="shared" ref="B11:D11" si="3">SUM(B7,B10)</f>
        <v>3158227209</v>
      </c>
      <c r="C11" s="305">
        <f t="shared" si="3"/>
        <v>6316454418</v>
      </c>
      <c r="D11" s="306">
        <f t="shared" si="3"/>
        <v>9474681627</v>
      </c>
      <c r="E11" s="304">
        <f t="shared" ref="E11:G11" si="4">E7+E10</f>
        <v>2771248994</v>
      </c>
      <c r="F11" s="305">
        <f t="shared" si="4"/>
        <v>5542497989</v>
      </c>
      <c r="G11" s="306">
        <f t="shared" si="4"/>
        <v>8313746983</v>
      </c>
    </row>
    <row r="12" ht="15.75" customHeight="1"/>
    <row r="13" ht="15.75" customHeight="1">
      <c r="A13" s="37"/>
      <c r="B13" s="37" t="s">
        <v>409</v>
      </c>
      <c r="C13" s="37" t="s">
        <v>410</v>
      </c>
      <c r="E13" s="307"/>
      <c r="F13" s="307"/>
    </row>
    <row r="14" ht="15.75" customHeight="1">
      <c r="A14" s="308" t="s">
        <v>436</v>
      </c>
      <c r="B14" s="309">
        <f>'Pomocná data I. Odhady prevalen'!B28/100</f>
        <v>0.291</v>
      </c>
      <c r="C14" s="309">
        <f>'Pomocná data I. Odhady prevalen'!C28/100</f>
        <v>0.247</v>
      </c>
      <c r="E14" s="310"/>
      <c r="F14" s="307"/>
    </row>
    <row r="15" ht="15.75" customHeight="1">
      <c r="A15" s="14" t="s">
        <v>437</v>
      </c>
      <c r="B15" s="24">
        <f>B14*'Pomocná data IV.Mzdy a další př'!B47*1000</f>
        <v>785991</v>
      </c>
      <c r="C15" s="24">
        <f>C14*'Pomocná data IV.Mzdy a další př'!C47*1000</f>
        <v>535743</v>
      </c>
      <c r="E15" s="307"/>
      <c r="F15" s="307"/>
    </row>
    <row r="16" ht="15.75" customHeight="1">
      <c r="A16" s="37"/>
      <c r="B16" s="37"/>
      <c r="C16" s="37"/>
      <c r="D16" s="37"/>
      <c r="E16" s="307"/>
      <c r="F16" s="307"/>
    </row>
    <row r="17" ht="15.75" customHeight="1">
      <c r="A17" s="308"/>
      <c r="B17" s="149"/>
      <c r="C17" s="149"/>
      <c r="D17" s="37"/>
      <c r="E17" s="307"/>
      <c r="F17" s="307"/>
    </row>
    <row r="18" ht="15.75" customHeight="1">
      <c r="B18" s="24"/>
      <c r="C18" s="24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>
      <c r="A33" s="311"/>
      <c r="B33" s="311"/>
      <c r="C33" s="311"/>
      <c r="D33" s="311"/>
      <c r="E33" s="311"/>
    </row>
    <row r="34" ht="15.75" customHeight="1">
      <c r="A34" s="311"/>
      <c r="B34" s="311"/>
      <c r="C34" s="311"/>
      <c r="D34" s="311"/>
      <c r="E34" s="311"/>
    </row>
    <row r="35" ht="15.75" customHeight="1">
      <c r="A35" s="311"/>
      <c r="B35" s="311"/>
      <c r="C35" s="311"/>
      <c r="D35" s="311"/>
      <c r="E35" s="311"/>
    </row>
    <row r="36" ht="15.75" customHeight="1">
      <c r="A36" s="311"/>
      <c r="B36" s="311"/>
      <c r="C36" s="311"/>
      <c r="D36" s="311"/>
      <c r="E36" s="311"/>
    </row>
    <row r="37" ht="15.75" customHeight="1">
      <c r="A37" s="311"/>
      <c r="B37" s="311"/>
      <c r="C37" s="311"/>
      <c r="D37" s="311"/>
      <c r="E37" s="31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6">
    <mergeCell ref="B2:D2"/>
    <mergeCell ref="E2:G2"/>
    <mergeCell ref="B5:D5"/>
    <mergeCell ref="E5:G5"/>
    <mergeCell ref="B8:D8"/>
    <mergeCell ref="E8:G8"/>
  </mergeCells>
  <printOptions/>
  <pageMargins bottom="0.787401575" footer="0.0" header="0.0" left="0.7" right="0.7" top="0.7874015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4" width="11.25"/>
    <col customWidth="1" min="5" max="5" width="13.0"/>
    <col customWidth="1" min="6" max="9" width="11.25"/>
    <col customWidth="1" min="10" max="10" width="13.13"/>
    <col customWidth="1" min="11" max="69" width="11.25"/>
  </cols>
  <sheetData>
    <row r="1" ht="15.75" customHeight="1">
      <c r="A1" s="13"/>
    </row>
    <row r="2" ht="15.75" customHeight="1">
      <c r="A2" s="13"/>
      <c r="B2" s="312" t="s">
        <v>438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0"/>
    </row>
    <row r="3" ht="15.75" customHeight="1">
      <c r="A3" s="13"/>
      <c r="B3" s="313"/>
      <c r="C3" s="314" t="s">
        <v>285</v>
      </c>
      <c r="D3" s="90"/>
      <c r="E3" s="10"/>
      <c r="F3" s="315" t="s">
        <v>339</v>
      </c>
      <c r="G3" s="90"/>
      <c r="H3" s="90"/>
      <c r="I3" s="90"/>
      <c r="J3" s="90"/>
      <c r="K3" s="10"/>
      <c r="L3" s="314" t="s">
        <v>287</v>
      </c>
      <c r="M3" s="90"/>
      <c r="N3" s="10"/>
    </row>
    <row r="4" ht="15.75" customHeight="1">
      <c r="A4" s="13"/>
      <c r="B4" s="316"/>
      <c r="C4" s="317" t="s">
        <v>439</v>
      </c>
      <c r="D4" s="90"/>
      <c r="E4" s="10"/>
      <c r="F4" s="317" t="s">
        <v>439</v>
      </c>
      <c r="G4" s="90"/>
      <c r="H4" s="10"/>
      <c r="I4" s="317" t="s">
        <v>429</v>
      </c>
      <c r="J4" s="90"/>
      <c r="K4" s="10"/>
      <c r="L4" s="317" t="s">
        <v>439</v>
      </c>
      <c r="M4" s="90"/>
      <c r="N4" s="10"/>
    </row>
    <row r="5" ht="15.75" customHeight="1">
      <c r="A5" s="13"/>
      <c r="B5" s="318" t="s">
        <v>440</v>
      </c>
      <c r="C5" s="319">
        <v>0.01</v>
      </c>
      <c r="D5" s="320">
        <v>0.03</v>
      </c>
      <c r="E5" s="321">
        <v>0.05</v>
      </c>
      <c r="F5" s="322">
        <v>0.01</v>
      </c>
      <c r="G5" s="320">
        <v>0.03</v>
      </c>
      <c r="H5" s="323">
        <v>0.05</v>
      </c>
      <c r="I5" s="322">
        <v>0.01</v>
      </c>
      <c r="J5" s="320">
        <v>0.03</v>
      </c>
      <c r="K5" s="322">
        <v>0.05</v>
      </c>
      <c r="L5" s="324">
        <v>0.01</v>
      </c>
      <c r="M5" s="320">
        <v>0.03</v>
      </c>
      <c r="N5" s="323">
        <v>0.05</v>
      </c>
    </row>
    <row r="6" ht="15.75" customHeight="1">
      <c r="A6" s="13"/>
      <c r="B6" s="318" t="s">
        <v>441</v>
      </c>
      <c r="C6" s="325">
        <f t="shared" ref="C6:E6" si="1">SUMPRODUCT($B$15:$B$25,B32:B42)</f>
        <v>3868840414</v>
      </c>
      <c r="D6" s="326">
        <f t="shared" si="1"/>
        <v>3516389393</v>
      </c>
      <c r="E6" s="327">
        <f t="shared" si="1"/>
        <v>3231290488</v>
      </c>
      <c r="F6" s="325">
        <f t="shared" ref="F6:H6" si="2">SUMPRODUCT($D$15:$D$25,B32:B42)</f>
        <v>5061876684</v>
      </c>
      <c r="G6" s="326">
        <f t="shared" si="2"/>
        <v>4591264645</v>
      </c>
      <c r="H6" s="327">
        <f t="shared" si="2"/>
        <v>4212098258</v>
      </c>
      <c r="I6" s="325">
        <f t="shared" ref="I6:K6" si="3">SUMPRODUCT($D$15:$D$22,H32:H39)</f>
        <v>927398058.9</v>
      </c>
      <c r="J6" s="326">
        <f t="shared" si="3"/>
        <v>821860193.7</v>
      </c>
      <c r="K6" s="327">
        <f t="shared" si="3"/>
        <v>737694747.8</v>
      </c>
      <c r="L6" s="328">
        <f t="shared" ref="L6:N6" si="4">SUMPRODUCT($F$15:$F$25,B32:B42)</f>
        <v>6325585523</v>
      </c>
      <c r="M6" s="326">
        <f t="shared" si="4"/>
        <v>5729647563</v>
      </c>
      <c r="N6" s="327">
        <f t="shared" si="4"/>
        <v>5250876344</v>
      </c>
      <c r="P6" s="145" t="str">
        <f t="shared" ref="P6:P8" si="9">CONCATENATE(ROUND(F6/1000000,0), " &amp; ", ROUND(G6/1000000,0), " &amp; ", ROUND(H6/1000000,0), " &amp; ", ROUND(I6/1000000,0), " &amp; ", ROUND(J6/1000000,0), " &amp; ", ROUND(K6/1000000,0), " \\")</f>
        <v>5062 &amp; 4591 &amp; 4212 &amp; 927 &amp; 822 &amp; 738 \\</v>
      </c>
    </row>
    <row r="7" ht="15.75" customHeight="1">
      <c r="A7" s="13"/>
      <c r="B7" s="318" t="s">
        <v>442</v>
      </c>
      <c r="C7" s="329">
        <f t="shared" ref="C7:E7" si="5">SUMPRODUCT($C$15:$C$25,E32:E42)</f>
        <v>3160493894</v>
      </c>
      <c r="D7" s="24">
        <f t="shared" si="5"/>
        <v>2809869865</v>
      </c>
      <c r="E7" s="330">
        <f t="shared" si="5"/>
        <v>2531818390</v>
      </c>
      <c r="F7" s="329">
        <f t="shared" ref="F7:H7" si="6">SUMPRODUCT($E$15:$E$25,E32:E42)</f>
        <v>4439864516</v>
      </c>
      <c r="G7" s="24">
        <f t="shared" si="6"/>
        <v>3947997408</v>
      </c>
      <c r="H7" s="330">
        <f t="shared" si="6"/>
        <v>3557507426</v>
      </c>
      <c r="I7" s="329">
        <f t="shared" ref="I7:K7" si="7">SUMPRODUCT($E$15:$E$22,K32:K39)</f>
        <v>2640886424</v>
      </c>
      <c r="J7" s="24">
        <f t="shared" si="7"/>
        <v>2360966986</v>
      </c>
      <c r="K7" s="330">
        <f t="shared" si="7"/>
        <v>2135940521</v>
      </c>
      <c r="L7" s="331">
        <f t="shared" ref="L7:N7" si="8">SUMPRODUCT($G$15:$G$25,E32:E42)</f>
        <v>6952399175</v>
      </c>
      <c r="M7" s="24">
        <f t="shared" si="8"/>
        <v>6187069623</v>
      </c>
      <c r="N7" s="330">
        <f t="shared" si="8"/>
        <v>5578127014</v>
      </c>
      <c r="P7" s="145" t="str">
        <f t="shared" si="9"/>
        <v>4440 &amp; 3948 &amp; 3558 &amp; 2641 &amp; 2361 &amp; 2136 \\</v>
      </c>
    </row>
    <row r="8" ht="15.75" customHeight="1">
      <c r="A8" s="13"/>
      <c r="B8" s="332" t="s">
        <v>68</v>
      </c>
      <c r="C8" s="333">
        <f t="shared" ref="C8:N8" si="10">SUM(C6:C7)</f>
        <v>7029334309</v>
      </c>
      <c r="D8" s="213">
        <f t="shared" si="10"/>
        <v>6326259258</v>
      </c>
      <c r="E8" s="334">
        <f t="shared" si="10"/>
        <v>5763108877</v>
      </c>
      <c r="F8" s="333">
        <f t="shared" si="10"/>
        <v>9501741200</v>
      </c>
      <c r="G8" s="213">
        <f t="shared" si="10"/>
        <v>8539262053</v>
      </c>
      <c r="H8" s="334">
        <f t="shared" si="10"/>
        <v>7769605684</v>
      </c>
      <c r="I8" s="212">
        <f t="shared" si="10"/>
        <v>3568284483</v>
      </c>
      <c r="J8" s="213">
        <f t="shared" si="10"/>
        <v>3182827180</v>
      </c>
      <c r="K8" s="334">
        <f t="shared" si="10"/>
        <v>2873635269</v>
      </c>
      <c r="L8" s="335">
        <f t="shared" si="10"/>
        <v>13277984698</v>
      </c>
      <c r="M8" s="213">
        <f t="shared" si="10"/>
        <v>11916717186</v>
      </c>
      <c r="N8" s="334">
        <f t="shared" si="10"/>
        <v>10829003358</v>
      </c>
      <c r="P8" s="145" t="str">
        <f t="shared" si="9"/>
        <v>9502 &amp; 8539 &amp; 7770 &amp; 3568 &amp; 3183 &amp; 2874 \\</v>
      </c>
    </row>
    <row r="9" ht="15.75" customHeight="1">
      <c r="A9" s="13"/>
    </row>
    <row r="10" ht="15.75" customHeight="1">
      <c r="A10" s="336" t="s">
        <v>443</v>
      </c>
      <c r="B10" s="194"/>
      <c r="C10" s="194"/>
      <c r="D10" s="194"/>
      <c r="E10" s="194"/>
      <c r="F10" s="194"/>
      <c r="G10" s="195"/>
      <c r="J10" s="14" t="s">
        <v>444</v>
      </c>
    </row>
    <row r="11" ht="15.75" customHeight="1">
      <c r="A11" s="13"/>
      <c r="B11" s="141" t="s">
        <v>285</v>
      </c>
      <c r="D11" s="141" t="s">
        <v>339</v>
      </c>
      <c r="F11" s="141" t="s">
        <v>287</v>
      </c>
      <c r="I11" s="14" t="s">
        <v>445</v>
      </c>
      <c r="J11" s="337">
        <f>SUMPRODUCT($D$15:$D$22,C32:C39)</f>
        <v>1492375863</v>
      </c>
    </row>
    <row r="12" ht="15.75" customHeight="1">
      <c r="A12" s="13"/>
      <c r="B12" s="79" t="s">
        <v>284</v>
      </c>
      <c r="C12" s="79" t="s">
        <v>283</v>
      </c>
      <c r="D12" s="79" t="s">
        <v>284</v>
      </c>
      <c r="E12" s="79" t="s">
        <v>283</v>
      </c>
      <c r="F12" s="79" t="s">
        <v>284</v>
      </c>
      <c r="G12" s="79" t="s">
        <v>283</v>
      </c>
      <c r="I12" s="14" t="s">
        <v>446</v>
      </c>
      <c r="J12" s="337">
        <f>SUMPRODUCT($E$15:$E$22,F32:F39)</f>
        <v>3517103948</v>
      </c>
    </row>
    <row r="13" ht="15.75" customHeight="1">
      <c r="A13" s="308" t="s">
        <v>447</v>
      </c>
      <c r="B13" s="47">
        <f t="shared" ref="B13:B25" si="11">V98</f>
        <v>0.005868497744</v>
      </c>
      <c r="C13" s="47">
        <f t="shared" ref="C13:C25" si="12">V116</f>
        <v>0.1097642875</v>
      </c>
      <c r="D13" s="47">
        <f t="shared" ref="D13:D25" si="13">V60</f>
        <v>0.06411962734</v>
      </c>
      <c r="E13" s="47">
        <f t="shared" ref="E13:E25" si="14">V78</f>
        <v>0.205247689</v>
      </c>
      <c r="F13" s="47">
        <f t="shared" ref="F13:F25" si="15">V136</f>
        <v>0.1553195524</v>
      </c>
      <c r="G13" s="47">
        <f t="shared" ref="G13:G25" si="16">V154</f>
        <v>0.3286363151</v>
      </c>
      <c r="I13" s="14" t="s">
        <v>68</v>
      </c>
      <c r="J13" s="338">
        <f>SUM(J11:J12)</f>
        <v>5009479811</v>
      </c>
    </row>
    <row r="14" ht="15.75" customHeight="1">
      <c r="A14" s="308" t="s">
        <v>448</v>
      </c>
      <c r="B14" s="47">
        <f t="shared" si="11"/>
        <v>0.3161227192</v>
      </c>
      <c r="C14" s="47">
        <f t="shared" si="12"/>
        <v>0.2712838935</v>
      </c>
      <c r="D14" s="47">
        <f t="shared" si="13"/>
        <v>0.6247836424</v>
      </c>
      <c r="E14" s="47">
        <f t="shared" si="14"/>
        <v>0.6156634664</v>
      </c>
      <c r="F14" s="47">
        <f t="shared" si="15"/>
        <v>1.025223456</v>
      </c>
      <c r="G14" s="47">
        <f t="shared" si="16"/>
        <v>1.040559303</v>
      </c>
    </row>
    <row r="15" ht="15.75" customHeight="1">
      <c r="A15" s="308" t="s">
        <v>449</v>
      </c>
      <c r="B15" s="47">
        <f t="shared" si="11"/>
        <v>0.8533712807</v>
      </c>
      <c r="C15" s="47">
        <f t="shared" si="12"/>
        <v>2.072581596</v>
      </c>
      <c r="D15" s="47">
        <f t="shared" si="13"/>
        <v>1.425613855</v>
      </c>
      <c r="E15" s="47">
        <f t="shared" si="14"/>
        <v>2.896057779</v>
      </c>
      <c r="F15" s="47">
        <f t="shared" si="15"/>
        <v>2.1241737</v>
      </c>
      <c r="G15" s="47">
        <f t="shared" si="16"/>
        <v>4.043020262</v>
      </c>
    </row>
    <row r="16" ht="15.75" customHeight="1">
      <c r="A16" s="308" t="s">
        <v>450</v>
      </c>
      <c r="B16" s="47">
        <f t="shared" si="11"/>
        <v>1.371409568</v>
      </c>
      <c r="C16" s="47">
        <f t="shared" si="12"/>
        <v>5.460214107</v>
      </c>
      <c r="D16" s="47">
        <f t="shared" si="13"/>
        <v>2.685272237</v>
      </c>
      <c r="E16" s="47">
        <f t="shared" si="14"/>
        <v>6.441006388</v>
      </c>
      <c r="F16" s="47">
        <f t="shared" si="15"/>
        <v>4.321511547</v>
      </c>
      <c r="G16" s="47">
        <f t="shared" si="16"/>
        <v>7.977318531</v>
      </c>
    </row>
    <row r="17" ht="15.75" customHeight="1">
      <c r="A17" s="308" t="s">
        <v>451</v>
      </c>
      <c r="B17" s="47">
        <f t="shared" si="11"/>
        <v>9.764577369</v>
      </c>
      <c r="C17" s="47">
        <f t="shared" si="12"/>
        <v>11.22068362</v>
      </c>
      <c r="D17" s="47">
        <f t="shared" si="13"/>
        <v>12.70252915</v>
      </c>
      <c r="E17" s="47">
        <f t="shared" si="14"/>
        <v>15.6356762</v>
      </c>
      <c r="F17" s="47">
        <f t="shared" si="15"/>
        <v>15.88494816</v>
      </c>
      <c r="G17" s="47">
        <f t="shared" si="16"/>
        <v>23.39641637</v>
      </c>
    </row>
    <row r="18" ht="15.75" customHeight="1">
      <c r="A18" s="308" t="s">
        <v>452</v>
      </c>
      <c r="B18" s="47">
        <f t="shared" si="11"/>
        <v>11.80014214</v>
      </c>
      <c r="C18" s="47">
        <f t="shared" si="12"/>
        <v>21.49079474</v>
      </c>
      <c r="D18" s="47">
        <f t="shared" si="13"/>
        <v>17.21028266</v>
      </c>
      <c r="E18" s="47">
        <f t="shared" si="14"/>
        <v>31.20173186</v>
      </c>
      <c r="F18" s="47">
        <f t="shared" si="15"/>
        <v>23.13278758</v>
      </c>
      <c r="G18" s="47">
        <f t="shared" si="16"/>
        <v>51.07865862</v>
      </c>
    </row>
    <row r="19" ht="15.75" customHeight="1">
      <c r="A19" s="308" t="s">
        <v>453</v>
      </c>
      <c r="B19" s="47">
        <f t="shared" si="11"/>
        <v>22.49550278</v>
      </c>
      <c r="C19" s="47">
        <f t="shared" si="12"/>
        <v>45.52717272</v>
      </c>
      <c r="D19" s="47">
        <f t="shared" si="13"/>
        <v>29.63646805</v>
      </c>
      <c r="E19" s="47">
        <f t="shared" si="14"/>
        <v>64.95236497</v>
      </c>
      <c r="F19" s="47">
        <f t="shared" si="15"/>
        <v>37.21924451</v>
      </c>
      <c r="G19" s="47">
        <f t="shared" si="16"/>
        <v>102.3178136</v>
      </c>
    </row>
    <row r="20" ht="15.75" customHeight="1">
      <c r="A20" s="308" t="s">
        <v>454</v>
      </c>
      <c r="B20" s="47">
        <f t="shared" si="11"/>
        <v>39.74917364</v>
      </c>
      <c r="C20" s="47">
        <f t="shared" si="12"/>
        <v>90.7192956</v>
      </c>
      <c r="D20" s="47">
        <f t="shared" si="13"/>
        <v>53.81166829</v>
      </c>
      <c r="E20" s="47">
        <f t="shared" si="14"/>
        <v>130.068874</v>
      </c>
      <c r="F20" s="47">
        <f t="shared" si="15"/>
        <v>68.5045491</v>
      </c>
      <c r="G20" s="47">
        <f t="shared" si="16"/>
        <v>207.7541588</v>
      </c>
    </row>
    <row r="21" ht="15.75" customHeight="1">
      <c r="A21" s="308" t="s">
        <v>455</v>
      </c>
      <c r="B21" s="47">
        <f t="shared" si="11"/>
        <v>72.03143385</v>
      </c>
      <c r="C21" s="47">
        <f t="shared" si="12"/>
        <v>157.0090026</v>
      </c>
      <c r="D21" s="47">
        <f t="shared" si="13"/>
        <v>100.7890908</v>
      </c>
      <c r="E21" s="47">
        <f t="shared" si="14"/>
        <v>218.9139541</v>
      </c>
      <c r="F21" s="47">
        <f t="shared" si="15"/>
        <v>130.0929382</v>
      </c>
      <c r="G21" s="47">
        <f t="shared" si="16"/>
        <v>342.1614879</v>
      </c>
    </row>
    <row r="22" ht="15.75" customHeight="1">
      <c r="A22" s="308" t="s">
        <v>456</v>
      </c>
      <c r="B22" s="47">
        <f t="shared" si="11"/>
        <v>177.8660714</v>
      </c>
      <c r="C22" s="47">
        <f t="shared" si="12"/>
        <v>314.2127996</v>
      </c>
      <c r="D22" s="47">
        <f t="shared" si="13"/>
        <v>238.1067428</v>
      </c>
      <c r="E22" s="47">
        <f t="shared" si="14"/>
        <v>438.3173909</v>
      </c>
      <c r="F22" s="47">
        <f t="shared" si="15"/>
        <v>299.2124757</v>
      </c>
      <c r="G22" s="47">
        <f t="shared" si="16"/>
        <v>685.8518141</v>
      </c>
    </row>
    <row r="23" ht="15.75" customHeight="1">
      <c r="A23" s="339" t="s">
        <v>457</v>
      </c>
      <c r="B23" s="340">
        <f t="shared" si="11"/>
        <v>338.8678891</v>
      </c>
      <c r="C23" s="340">
        <f t="shared" si="12"/>
        <v>441.268862</v>
      </c>
      <c r="D23" s="340">
        <f t="shared" si="13"/>
        <v>442.2006481</v>
      </c>
      <c r="E23" s="340">
        <f t="shared" si="14"/>
        <v>611.5826909</v>
      </c>
      <c r="F23" s="340">
        <f t="shared" si="15"/>
        <v>549.0123253</v>
      </c>
      <c r="G23" s="340">
        <f t="shared" si="16"/>
        <v>954.257255</v>
      </c>
    </row>
    <row r="24" ht="15.75" customHeight="1">
      <c r="A24" s="339" t="s">
        <v>458</v>
      </c>
      <c r="B24" s="340">
        <f t="shared" si="11"/>
        <v>536.5647728</v>
      </c>
      <c r="C24" s="340">
        <f t="shared" si="12"/>
        <v>519.8615743</v>
      </c>
      <c r="D24" s="340">
        <f t="shared" si="13"/>
        <v>691.8812127</v>
      </c>
      <c r="E24" s="340">
        <f t="shared" si="14"/>
        <v>720.9872434</v>
      </c>
      <c r="F24" s="340">
        <f t="shared" si="15"/>
        <v>853.8415169</v>
      </c>
      <c r="G24" s="340">
        <f t="shared" si="16"/>
        <v>1140.415117</v>
      </c>
    </row>
    <row r="25" ht="15.75" customHeight="1">
      <c r="A25" s="339" t="s">
        <v>459</v>
      </c>
      <c r="B25" s="340">
        <f t="shared" si="11"/>
        <v>4234.056701</v>
      </c>
      <c r="C25" s="340">
        <f t="shared" si="12"/>
        <v>1378.8615</v>
      </c>
      <c r="D25" s="340">
        <f t="shared" si="13"/>
        <v>5362.612529</v>
      </c>
      <c r="E25" s="340">
        <f t="shared" si="14"/>
        <v>1934.056536</v>
      </c>
      <c r="F25" s="340">
        <f t="shared" si="15"/>
        <v>6576.460188</v>
      </c>
      <c r="G25" s="340">
        <f t="shared" si="16"/>
        <v>3237.921712</v>
      </c>
    </row>
    <row r="26" ht="15.75" customHeight="1">
      <c r="A26" s="13"/>
    </row>
    <row r="27" ht="15.75" customHeight="1">
      <c r="A27" s="13"/>
      <c r="B27" s="341" t="s">
        <v>439</v>
      </c>
      <c r="C27" s="90"/>
      <c r="D27" s="90"/>
      <c r="E27" s="90"/>
      <c r="F27" s="90"/>
      <c r="G27" s="10"/>
      <c r="H27" s="341" t="s">
        <v>429</v>
      </c>
      <c r="I27" s="90"/>
      <c r="J27" s="90"/>
      <c r="K27" s="90"/>
      <c r="L27" s="90"/>
      <c r="M27" s="10"/>
    </row>
    <row r="28" ht="15.75" customHeight="1">
      <c r="A28" s="48" t="s">
        <v>460</v>
      </c>
      <c r="B28" s="196" t="s">
        <v>284</v>
      </c>
      <c r="C28" s="90"/>
      <c r="D28" s="90"/>
      <c r="E28" s="196" t="s">
        <v>283</v>
      </c>
      <c r="F28" s="90"/>
      <c r="G28" s="10"/>
      <c r="H28" s="342" t="s">
        <v>284</v>
      </c>
      <c r="I28" s="289"/>
      <c r="J28" s="289"/>
      <c r="K28" s="342" t="s">
        <v>283</v>
      </c>
      <c r="L28" s="289"/>
      <c r="M28" s="73"/>
    </row>
    <row r="29" ht="15.75" customHeight="1">
      <c r="A29" s="343"/>
      <c r="B29" s="344" t="s">
        <v>461</v>
      </c>
      <c r="C29" s="201" t="s">
        <v>462</v>
      </c>
      <c r="D29" s="201" t="s">
        <v>463</v>
      </c>
      <c r="E29" s="345" t="s">
        <v>461</v>
      </c>
      <c r="F29" s="79" t="s">
        <v>462</v>
      </c>
      <c r="G29" s="79" t="s">
        <v>463</v>
      </c>
      <c r="H29" s="344" t="s">
        <v>461</v>
      </c>
      <c r="I29" s="201" t="s">
        <v>462</v>
      </c>
      <c r="J29" s="201" t="s">
        <v>463</v>
      </c>
      <c r="K29" s="82" t="s">
        <v>461</v>
      </c>
      <c r="L29" s="199" t="s">
        <v>462</v>
      </c>
      <c r="M29" s="249" t="s">
        <v>463</v>
      </c>
    </row>
    <row r="30" ht="15.75" customHeight="1">
      <c r="A30" s="205" t="s">
        <v>447</v>
      </c>
      <c r="B30" s="22">
        <f t="array" ref="B30">0.5*$E$51+NPV('Pomocná data IV.Mzdy a další př'!B$50, $F$51:$BQ$51)</f>
        <v>16988331.06</v>
      </c>
      <c r="C30" s="22">
        <f t="array" ref="C30">0.5*$E$51+NPV('Pomocná data IV.Mzdy a další př'!C$50, $F$51:$BQ$51)</f>
        <v>11671968.82</v>
      </c>
      <c r="D30" s="22">
        <f t="array" ref="D30">0.5*$E$51+NPV('Pomocná data IV.Mzdy a další př'!D$50, $F$51:$BQ$51)</f>
        <v>8578166.804</v>
      </c>
      <c r="E30" s="346">
        <f t="array" ref="E30">0.5*$E$50+NPV('Pomocná data IV.Mzdy a další př'!B$50,$F$50:$BK$50)</f>
        <v>19205885.39</v>
      </c>
      <c r="F30" s="326">
        <f t="array" ref="F30">0.5*$E$50+NPV('Pomocná data IV.Mzdy a další př'!C$50,$F$50:$BK$50)</f>
        <v>13088497.26</v>
      </c>
      <c r="G30" s="347">
        <f t="array" ref="G30">0.5*$E$50+NPV('Pomocná data IV.Mzdy a další př'!D$50,$F$50:$BK$50)</f>
        <v>9509364.116</v>
      </c>
      <c r="H30" s="348">
        <f t="array" ref="H30">0.5*$E$46+NPV('Pomocná data IV.Mzdy a další př'!B$50, $F$46:$AW$46)</f>
        <v>13518678.27</v>
      </c>
      <c r="I30" s="348">
        <f t="array" ref="I30">0.5*$E$46+NPV('Pomocná data IV.Mzdy a další př'!C$50, $F$46:$AW$46)</f>
        <v>9436258.93</v>
      </c>
      <c r="J30" s="348">
        <f t="array" ref="J30">0.5*$E$46+NPV('Pomocná data IV.Mzdy a další př'!D$50, $F$46:$AW$46)</f>
        <v>6980924.357</v>
      </c>
      <c r="K30" s="349">
        <f t="array" ref="K30">0.5*$E45+NPV('Pomocná data IV.Mzdy a další př'!B$50,$F$45:$AX$45)</f>
        <v>16779016.79</v>
      </c>
      <c r="L30" s="350">
        <f t="array" ref="L30">0.5*$E45+NPV('Pomocná data IV.Mzdy a další př'!C$50,$F$45:$AX$45)</f>
        <v>11539511.83</v>
      </c>
      <c r="M30" s="351">
        <f t="array" ref="M30">0.5*$E45+NPV('Pomocná data IV.Mzdy a další př'!D$50,$F$45:$AX$45)</f>
        <v>8416559.147</v>
      </c>
    </row>
    <row r="31" ht="15.75" customHeight="1">
      <c r="A31" s="205" t="s">
        <v>448</v>
      </c>
      <c r="B31" s="22">
        <f t="array" ref="B31">0.5*$J$51+NPV('Pomocná data IV.Mzdy a další př'!B$50, $K$51:$BQ$51)</f>
        <v>16341949.24</v>
      </c>
      <c r="C31" s="22">
        <f t="array" ref="C31">0.5*$J$51+NPV('Pomocná data IV.Mzdy a další př'!C$50, $K$51:$BQ$51)</f>
        <v>11665302.44</v>
      </c>
      <c r="D31" s="22">
        <f t="array" ref="D31">0.5*$J$51+NPV('Pomocná data IV.Mzdy a další př'!D$50, $K$51:$BQ$51)</f>
        <v>8817465.28</v>
      </c>
      <c r="E31" s="352">
        <f t="array" ref="E31">0.5*$J$50+NPV('Pomocná data IV.Mzdy a další př'!B$50,$K$50:$BK$50)</f>
        <v>18731946.4</v>
      </c>
      <c r="F31" s="24">
        <f t="array" ref="F31">0.5*$J$50+NPV('Pomocná data IV.Mzdy a další př'!C$50,$K$50:$BK$50)</f>
        <v>13328218.08</v>
      </c>
      <c r="G31" s="207">
        <f t="array" ref="G31">0.5*$J$50+NPV('Pomocná data IV.Mzdy a další př'!D$50,$K$50:$BK$50)</f>
        <v>10000898.09</v>
      </c>
      <c r="H31" s="348">
        <f t="array" ref="H31">0.5*$J46+NPV('Pomocná data IV.Mzdy a další př'!B$50, $K$46:$AW$46)</f>
        <v>13011887.9</v>
      </c>
      <c r="I31" s="348">
        <f t="array" ref="I31">0.5*$J46+NPV('Pomocná data IV.Mzdy a další př'!C$50, $K$46:$AW$46)</f>
        <v>9471520.145</v>
      </c>
      <c r="J31" s="348">
        <f t="array" ref="J31">0.5*$J46+NPV('Pomocná data IV.Mzdy a další př'!D$50, $K$46:$AW$46)</f>
        <v>7233117.467</v>
      </c>
      <c r="K31" s="353">
        <f t="array" ref="K31">0.5*$J45+NPV('Pomocná data IV.Mzdy a další př'!B$50,$K$45:$AX$45)</f>
        <v>16386297.84</v>
      </c>
      <c r="L31" s="348">
        <f t="array" ref="L31">0.5*$J45+NPV('Pomocná data IV.Mzdy a další př'!C$50,$K$45:$AX$45)</f>
        <v>11794507.56</v>
      </c>
      <c r="M31" s="354">
        <f t="array" ref="M31">0.5*$J45+NPV('Pomocná data IV.Mzdy a další př'!D$50,$K$45:$AX$45)</f>
        <v>8907227.115</v>
      </c>
    </row>
    <row r="32" ht="15.75" customHeight="1">
      <c r="A32" s="205" t="s">
        <v>449</v>
      </c>
      <c r="B32" s="22">
        <f t="array" ref="B32">0.5*$O$51+NPV('Pomocná data IV.Mzdy a další př'!B$50, $P$51:$BQ$51)</f>
        <v>15277127.89</v>
      </c>
      <c r="C32" s="22">
        <f t="array" ref="C32">0.5*$O$51+NPV('Pomocná data IV.Mzdy a další př'!C$50, $P$51:$BQ$51)</f>
        <v>11290316.99</v>
      </c>
      <c r="D32" s="22">
        <f t="array" ref="D32">0.5*$O$51+NPV('Pomocná data IV.Mzdy a další př'!D$50, $P$51:$BQ$51)</f>
        <v>8754456.518</v>
      </c>
      <c r="E32" s="352">
        <f t="array" ref="E32">0.5*$O$50+NPV('Pomocná data IV.Mzdy a další př'!B$50,$P$50:$BK$50)</f>
        <v>17801671.99</v>
      </c>
      <c r="F32" s="24">
        <f t="array" ref="F32">0.5*$O$50+NPV('Pomocná data IV.Mzdy a další př'!C$50,$P$50:$BK$50)</f>
        <v>13194017.46</v>
      </c>
      <c r="G32" s="207">
        <f t="array" ref="G32">0.5*$O$50+NPV('Pomocná data IV.Mzdy a další př'!D$50,$P$50:$BK$50)</f>
        <v>10213150.63</v>
      </c>
      <c r="H32" s="348">
        <f t="array" ref="H32">0.5*$O46+NPV('Pomocná data IV.Mzdy a další př'!B$50, $P$46:$AW$46)</f>
        <v>12101186.81</v>
      </c>
      <c r="I32" s="348">
        <f t="array" ref="I32">0.5*$O46+NPV('Pomocná data IV.Mzdy a další př'!C$50, $P$46:$AW$46)</f>
        <v>9147546.031</v>
      </c>
      <c r="J32" s="348">
        <f t="array" ref="J32">0.5*$O46+NPV('Pomocná data IV.Mzdy a další př'!D$50, $P$46:$AW$46)</f>
        <v>7187364.635</v>
      </c>
      <c r="K32" s="353">
        <f t="array" ref="K32">0.5*$O45+NPV('Pomocná data IV.Mzdy a další př'!B$50,$P$45:$AX$45)</f>
        <v>15545696.91</v>
      </c>
      <c r="L32" s="348">
        <f t="array" ref="L32">0.5*$O45+NPV('Pomocná data IV.Mzdy a další př'!C$50,$P$45:$AX$45)</f>
        <v>11678891.19</v>
      </c>
      <c r="M32" s="354">
        <f t="array" ref="M32">0.5*$O45+NPV('Pomocná data IV.Mzdy a další př'!D$50,$P$45:$AX$45)</f>
        <v>9118320.754</v>
      </c>
    </row>
    <row r="33" ht="15.75" customHeight="1">
      <c r="A33" s="205" t="s">
        <v>450</v>
      </c>
      <c r="B33" s="22">
        <f t="array" ref="B33">0.5*$T$51+NPV('Pomocná data IV.Mzdy a další př'!B$50, $U$51:$BQ$51)</f>
        <v>13837393.6</v>
      </c>
      <c r="C33" s="22">
        <f t="array" ref="C33">0.5*$T$51+NPV('Pomocná data IV.Mzdy a další př'!C$50, $U$51:$BQ$51)</f>
        <v>10554055.73</v>
      </c>
      <c r="D33" s="22">
        <f t="array" ref="D33">0.5*$T$51+NPV('Pomocná data IV.Mzdy a další př'!D$50, $U$51:$BQ$51)</f>
        <v>8373270.706</v>
      </c>
      <c r="E33" s="352">
        <f t="array" ref="E33">0.5*$T$50+NPV('Pomocná data IV.Mzdy a další př'!B$50,$U$50:$BK$50)</f>
        <v>16359146.31</v>
      </c>
      <c r="F33" s="24">
        <f t="array" ref="F33">0.5*$T$50+NPV('Pomocná data IV.Mzdy a další př'!C$50,$U$50:$BK$50)</f>
        <v>12593348.79</v>
      </c>
      <c r="G33" s="207">
        <f t="array" ref="G33">0.5*$T$50+NPV('Pomocná data IV.Mzdy a další př'!D$50,$U$50:$BK$50)</f>
        <v>10036737.87</v>
      </c>
      <c r="H33" s="348">
        <f t="array" ref="H33">0.5*$T46+NPV('Pomocná data IV.Mzdy a další př'!B$50, $U$46:$AW$46)</f>
        <v>10831613.73</v>
      </c>
      <c r="I33" s="348">
        <f t="array" ref="I33">0.5*$T46+NPV('Pomocná data IV.Mzdy a další př'!C$50, $U$46:$AW$46)</f>
        <v>8473347.864</v>
      </c>
      <c r="J33" s="348">
        <f t="array" ref="J33">0.5*$T46+NPV('Pomocná data IV.Mzdy a další př'!D$50, $U$46:$AW$46)</f>
        <v>6829271.149</v>
      </c>
      <c r="K33" s="353">
        <f t="array" ref="K33">0.5*$T45+NPV('Pomocná data IV.Mzdy a další př'!B$50,$U$45:$AX$45)</f>
        <v>14202178.01</v>
      </c>
      <c r="L33" s="348">
        <f t="array" ref="L33">0.5*$T45+NPV('Pomocná data IV.Mzdy a další př'!C$50,$U$45:$AX$45)</f>
        <v>11100833.11</v>
      </c>
      <c r="M33" s="354">
        <f t="array" ref="M33">0.5*$T45+NPV('Pomocná data IV.Mzdy a další př'!D$50,$U$45:$AX$45)</f>
        <v>8940357.106</v>
      </c>
    </row>
    <row r="34" ht="15.75" customHeight="1">
      <c r="A34" s="205" t="s">
        <v>451</v>
      </c>
      <c r="B34" s="22">
        <f t="array" ref="B34">0.5*$Y$51+NPV('Pomocná data IV.Mzdy a další př'!B$50, $Z$51:$BQ$51)</f>
        <v>12215882.26</v>
      </c>
      <c r="C34" s="22">
        <f t="array" ref="C34">0.5*$Y$51+NPV('Pomocná data IV.Mzdy a další př'!C$50, $Z$51:$BQ$51)</f>
        <v>9621970.612</v>
      </c>
      <c r="D34" s="22">
        <f t="array" ref="D34">0.5*$Y$51+NPV('Pomocná data IV.Mzdy a další př'!D$50, $Z$51:$BQ$51)</f>
        <v>7822127.763</v>
      </c>
      <c r="E34" s="352">
        <f t="array" ref="E34">0.5*$Y$50+NPV('Pomocná data IV.Mzdy a další př'!B$50,$Z$50:$BK$50)</f>
        <v>14457179.25</v>
      </c>
      <c r="F34" s="24">
        <f t="array" ref="F34">0.5*$Y$50+NPV('Pomocná data IV.Mzdy a další př'!C$50,$Z$50:$BK$50)</f>
        <v>11536006.4</v>
      </c>
      <c r="G34" s="207">
        <f t="array" ref="G34">0.5*$Y$50+NPV('Pomocná data IV.Mzdy a další př'!D$50,$Z$50:$BK$50)</f>
        <v>9455987.039</v>
      </c>
      <c r="H34" s="348">
        <f t="array" ref="H34">0.5*$Y46+NPV('Pomocná data IV.Mzdy a další př'!B$50, $Z$46:$AW$46)</f>
        <v>9397974.114</v>
      </c>
      <c r="I34" s="348">
        <f t="array" ref="I34">0.5*$Y46+NPV('Pomocná data IV.Mzdy a další př'!C$50, $Z$46:$AW$46)</f>
        <v>7616771.987</v>
      </c>
      <c r="J34" s="348">
        <f t="array" ref="J34">0.5*$Y46+NPV('Pomocná data IV.Mzdy a další př'!D$50, $Z$46:$AW$46)</f>
        <v>6309030.947</v>
      </c>
      <c r="K34" s="353">
        <f t="array" ref="K34">0.5*$Y45+NPV('Pomocná data IV.Mzdy a další př'!B$50,$Z$45:$AX$45)</f>
        <v>12409522.43</v>
      </c>
      <c r="L34" s="348">
        <f t="array" ref="L34">0.5*$Y45+NPV('Pomocná data IV.Mzdy a další př'!C$50,$Z$45:$AX$45)</f>
        <v>10070999.96</v>
      </c>
      <c r="M34" s="354">
        <f t="array" ref="M34">0.5*$Y45+NPV('Pomocná data IV.Mzdy a další př'!D$50,$Z$45:$AX$45)</f>
        <v>8357530.852</v>
      </c>
    </row>
    <row r="35" ht="15.75" customHeight="1">
      <c r="A35" s="205" t="s">
        <v>452</v>
      </c>
      <c r="B35" s="22">
        <f t="array" ref="B35">0.5*$AD$51+NPV('Pomocná data IV.Mzdy a další př'!B$50, $AE$51:$BQ$51)</f>
        <v>10437969.79</v>
      </c>
      <c r="C35" s="22">
        <f t="array" ref="C35">0.5*$AD$51+NPV('Pomocná data IV.Mzdy a další př'!C$50, $AE$51:$BQ$51)</f>
        <v>8501450.826</v>
      </c>
      <c r="D35" s="22">
        <f t="array" ref="D35">0.5*$AD$51+NPV('Pomocná data IV.Mzdy a další př'!D$50, $AE$51:$BQ$51)</f>
        <v>7099293.661</v>
      </c>
      <c r="E35" s="352">
        <f t="array" ref="E35">0.5*$AD$50+NPV('Pomocná data IV.Mzdy a další př'!B$50,$AE$50:$BK$50)</f>
        <v>12168676.1</v>
      </c>
      <c r="F35" s="24">
        <f t="array" ref="F35">0.5*$AD$50+NPV('Pomocná data IV.Mzdy a další př'!C$50,$AE$50:$BK$50)</f>
        <v>10050013.23</v>
      </c>
      <c r="G35" s="207">
        <f t="array" ref="G35">0.5*$AD$50+NPV('Pomocná data IV.Mzdy a další př'!D$50,$AE$50:$BK$50)</f>
        <v>8467646.484</v>
      </c>
      <c r="H35" s="348">
        <f t="array" ref="H35">0.5*$AD46+NPV('Pomocná data IV.Mzdy a další př'!B$50, $AE$46:$AW$46)</f>
        <v>7827487.218</v>
      </c>
      <c r="I35" s="348">
        <f t="array" ref="I35">0.5*$AD46+NPV('Pomocná data IV.Mzdy a další př'!C$50, $AE$46:$AW$46)</f>
        <v>6588120.737</v>
      </c>
      <c r="J35" s="348">
        <f t="array" ref="J35">0.5*$AD46+NPV('Pomocná data IV.Mzdy a další př'!D$50, $AE$46:$AW$46)</f>
        <v>5627551.684</v>
      </c>
      <c r="K35" s="353">
        <f t="array" ref="K35">0.5*$AD45+NPV('Pomocná data IV.Mzdy a další př'!B$50,$AE$45:$AX$45)</f>
        <v>10241707.98</v>
      </c>
      <c r="L35" s="348">
        <f t="array" ref="L35">0.5*$AD45+NPV('Pomocná data IV.Mzdy a další př'!C$50,$AE$45:$AX$45)</f>
        <v>8618475.976</v>
      </c>
      <c r="M35" s="354">
        <f t="array" ref="M35">0.5*$AD45+NPV('Pomocná data IV.Mzdy a další př'!D$50,$AE$45:$AX$45)</f>
        <v>7366412.907</v>
      </c>
    </row>
    <row r="36" ht="15.75" customHeight="1">
      <c r="A36" s="205" t="s">
        <v>453</v>
      </c>
      <c r="B36" s="22">
        <f t="array" ref="B36">0.5*$AI$51+NPV('Pomocná data IV.Mzdy a další př'!B$50, $AJ$51:$BQ$51)</f>
        <v>8495380.315</v>
      </c>
      <c r="C36" s="22">
        <f t="array" ref="C36">0.5*$AI$51+NPV('Pomocná data IV.Mzdy a další př'!C$50, $AJ$51:$BQ$51)</f>
        <v>7159216.485</v>
      </c>
      <c r="D36" s="22">
        <f t="array" ref="D36">0.5*$AI$51+NPV('Pomocná data IV.Mzdy a další př'!D$50, $AJ$51:$BQ$51)</f>
        <v>6153724.083</v>
      </c>
      <c r="E36" s="352">
        <f t="array" ref="E36">0.5*$AI$50+NPV('Pomocná data IV.Mzdy a další př'!B$50,$AJ$50:$BK$50)</f>
        <v>9680788.76</v>
      </c>
      <c r="F36" s="24">
        <f t="array" ref="F36">0.5*$AI$50+NPV('Pomocná data IV.Mzdy a další př'!C$50,$AJ$50:$BK$50)</f>
        <v>8279697.97</v>
      </c>
      <c r="G36" s="207">
        <f t="array" ref="G36">0.5*$AI$50+NPV('Pomocná data IV.Mzdy a další př'!D$50,$AJ$50:$BK$50)</f>
        <v>7181262.746</v>
      </c>
      <c r="H36" s="348">
        <f t="array" ref="H36">0.5*$AI46+NPV('Pomocná data IV.Mzdy a další př'!B$50, $AJ$46:$AW$46)</f>
        <v>6113912.326</v>
      </c>
      <c r="I36" s="348">
        <f t="array" ref="I36">0.5*$AI46+NPV('Pomocná data IV.Mzdy a další př'!C$50, $AJ$46:$AW$46)</f>
        <v>5357658.517</v>
      </c>
      <c r="J36" s="348">
        <f t="array" ref="J36">0.5*$AI46+NPV('Pomocná data IV.Mzdy a další př'!D$50, $AJ$46:$AW$46)</f>
        <v>4737324.208</v>
      </c>
      <c r="K36" s="353">
        <f t="array" ref="K36">0.5*$AI45+NPV('Pomocná data IV.Mzdy a další př'!B$50,$AJ$45:$AX$45)</f>
        <v>7887070.726</v>
      </c>
      <c r="L36" s="348">
        <f t="array" ref="L36">0.5*$AI45+NPV('Pomocná data IV.Mzdy a další př'!C$50,$AJ$45:$AX$45)</f>
        <v>6888881.109</v>
      </c>
      <c r="M36" s="354">
        <f t="array" ref="M36">0.5*$AI45+NPV('Pomocná data IV.Mzdy a další př'!D$50,$AJ$45:$AX$45)</f>
        <v>6076312.394</v>
      </c>
    </row>
    <row r="37" ht="15.75" customHeight="1">
      <c r="A37" s="205" t="s">
        <v>454</v>
      </c>
      <c r="B37" s="22">
        <f t="array" ref="B37">0.5*$AN$51+NPV('Pomocná data IV.Mzdy a další př'!B$50, $AO$51:$BQ$51)</f>
        <v>6353872.627</v>
      </c>
      <c r="C37" s="22">
        <f t="array" ref="C37">0.5*$AN$51+NPV('Pomocná data IV.Mzdy a další př'!C$50, $AO$51:$BQ$51)</f>
        <v>5530065.427</v>
      </c>
      <c r="D37" s="22">
        <f t="array" ref="D37">0.5*$AN$51+NPV('Pomocná data IV.Mzdy a další př'!D$50, $AO$51:$BQ$51)</f>
        <v>4892885.194</v>
      </c>
      <c r="E37" s="352">
        <f t="array" ref="E37">0.5*$AN$50+NPV('Pomocná data IV.Mzdy a další př'!B$50,$AO$50:$BK$50)</f>
        <v>7098250.217</v>
      </c>
      <c r="F37" s="24">
        <f t="array" ref="F37">0.5*$AN$50+NPV('Pomocná data IV.Mzdy a další př'!C$50,$AO$50:$BK$50)</f>
        <v>6297866.326</v>
      </c>
      <c r="G37" s="207">
        <f t="array" ref="G37">0.5*$AN$50+NPV('Pomocná data IV.Mzdy a další př'!D$50,$AO$50:$BK$50)</f>
        <v>5639900.373</v>
      </c>
      <c r="H37" s="348">
        <f t="array" ref="H37">0.5*$AN46+NPV('Pomocná data IV.Mzdy a další př'!B$50, $AO$46:$AW$46)</f>
        <v>4225255.247</v>
      </c>
      <c r="I37" s="348">
        <f t="array" ref="I37">0.5*$AN46+NPV('Pomocná data IV.Mzdy a další př'!C$50, $AO$46:$AW$46)</f>
        <v>3864495.334</v>
      </c>
      <c r="J37" s="348">
        <f t="array" ref="J37">0.5*$AN46+NPV('Pomocná data IV.Mzdy a další př'!D$50, $AO$46:$AW$46)</f>
        <v>3550545.536</v>
      </c>
      <c r="K37" s="353">
        <f t="array" ref="K37">0.5*$AN45+NPV('Pomocná data IV.Mzdy a další př'!B$50,$AO$45:$AX$45)</f>
        <v>5451651.043</v>
      </c>
      <c r="L37" s="348">
        <f t="array" ref="L37">0.5*$AN45+NPV('Pomocná data IV.Mzdy a další př'!C$50,$AO$45:$AX$45)</f>
        <v>4956592.048</v>
      </c>
      <c r="M37" s="354">
        <f t="array" ref="M37">0.5*$AN45+NPV('Pomocná data IV.Mzdy a další př'!D$50,$AO$45:$AX$45)</f>
        <v>4529976.14</v>
      </c>
    </row>
    <row r="38" ht="15.75" customHeight="1">
      <c r="A38" s="205" t="s">
        <v>455</v>
      </c>
      <c r="B38" s="22">
        <f t="array" ref="B38">0.5*$AS$51+NPV('Pomocná data IV.Mzdy a další př'!B$50, $AT$51:$BQ$51)</f>
        <v>4016415.539</v>
      </c>
      <c r="C38" s="22">
        <f t="array" ref="C38">0.5*$AS$51+NPV('Pomocná data IV.Mzdy a další př'!C$50, $AT$51:$BQ$51)</f>
        <v>3575675.778</v>
      </c>
      <c r="D38" s="22">
        <f t="array" ref="D38">0.5*$AS$51+NPV('Pomocná data IV.Mzdy a další př'!D$50, $AT$51:$BQ$51)</f>
        <v>3234111.998</v>
      </c>
      <c r="E38" s="352">
        <f t="array" ref="E38">0.5*$AS$50+NPV('Pomocná data IV.Mzdy a další př'!B$50,$AT$50:$BK$50)</f>
        <v>4434878.34</v>
      </c>
      <c r="F38" s="24">
        <f t="array" ref="F38">0.5*$AS$50+NPV('Pomocná data IV.Mzdy a další př'!C$50,$AT$50:$BK$50)</f>
        <v>4084131.767</v>
      </c>
      <c r="G38" s="207">
        <f t="array" ref="G38">0.5*$AS$50+NPV('Pomocná data IV.Mzdy a další př'!D$50,$AT$50:$BK$50)</f>
        <v>3784639.169</v>
      </c>
      <c r="H38" s="348">
        <f t="array" ref="H38">0.5*$AS46+NPV('Pomocná data IV.Mzdy a další př'!B$50, $AT$46:$AW$46)</f>
        <v>2166965.662</v>
      </c>
      <c r="I38" s="348">
        <f t="array" ref="I38">0.5*$AS46+NPV('Pomocná data IV.Mzdy a další př'!C$50, $AT$46:$AW$46)</f>
        <v>2075555.728</v>
      </c>
      <c r="J38" s="348">
        <f t="array" ref="J38">0.5*$AS46+NPV('Pomocná data IV.Mzdy a další př'!D$50, $AT$46:$AW$46)</f>
        <v>1990881.618</v>
      </c>
      <c r="K38" s="353">
        <f t="array" ref="K38">0.5*$AS45+NPV('Pomocná data IV.Mzdy a další př'!B$50,$AT$45:$AX$45)</f>
        <v>2950710.275</v>
      </c>
      <c r="L38" s="348">
        <f t="array" ref="L38">0.5*$AS45+NPV('Pomocná data IV.Mzdy a další př'!C$50,$AT$45:$AX$45)</f>
        <v>2803133.615</v>
      </c>
      <c r="M38" s="354">
        <f t="array" ref="M38">0.5*$AS45+NPV('Pomocná data IV.Mzdy a další př'!D$50,$AT$45:$AX$45)</f>
        <v>2668058.76</v>
      </c>
    </row>
    <row r="39" ht="15.75" customHeight="1">
      <c r="A39" s="210" t="s">
        <v>456</v>
      </c>
      <c r="B39" s="22">
        <f t="array" ref="B39">0.5*$AX$51+NPV('Pomocná data IV.Mzdy a další př'!B$50, $AY$51:$BQ$51)</f>
        <v>1541226.395</v>
      </c>
      <c r="C39" s="22">
        <f t="array" ref="C39">0.5*$AX$51+NPV('Pomocná data IV.Mzdy a další př'!C$50, $AY$51:$BQ$51)</f>
        <v>1298824.774</v>
      </c>
      <c r="D39" s="22">
        <f t="array" ref="D39">0.5*$AX$51+NPV('Pomocná data IV.Mzdy a další př'!D$50, $AY$51:$BQ$51)</f>
        <v>1110599.811</v>
      </c>
      <c r="E39" s="355">
        <f t="array" ref="E39">0.5*$AX$50+NPV('Pomocná data IV.Mzdy a další př'!B$50,$AY$50:$BK$50)</f>
        <v>1586528.476</v>
      </c>
      <c r="F39" s="356">
        <f t="array" ref="F39">0.5*$AX$50+NPV('Pomocná data IV.Mzdy a další př'!C$50,$AY$50:$BK$50)</f>
        <v>1489360.508</v>
      </c>
      <c r="G39" s="357">
        <f t="array" ref="G39">0.5*$AX$50+NPV('Pomocná data IV.Mzdy a další př'!D$50,$AY$50:$BK$50)</f>
        <v>1407185.355</v>
      </c>
      <c r="H39" s="358" t="s">
        <v>464</v>
      </c>
      <c r="I39" s="358" t="s">
        <v>464</v>
      </c>
      <c r="J39" s="358" t="s">
        <v>464</v>
      </c>
      <c r="K39" s="359">
        <f t="shared" ref="K39:M39" si="17">0.5*$AX$45</f>
        <v>281697.48</v>
      </c>
      <c r="L39" s="360">
        <f t="shared" si="17"/>
        <v>281697.48</v>
      </c>
      <c r="M39" s="361">
        <f t="shared" si="17"/>
        <v>281697.48</v>
      </c>
    </row>
    <row r="40" ht="15.75" customHeight="1">
      <c r="A40" s="362" t="s">
        <v>457</v>
      </c>
      <c r="B40" s="363">
        <f t="array" ref="B40">0.5*$BC$51+NPV('Pomocná data IV.Mzdy a další př'!B$50, $BD$51:$BQ$51)</f>
        <v>1200922.766</v>
      </c>
      <c r="C40" s="364">
        <f t="array" ref="C40">0.5*$BC$51+NPV('Pomocná data IV.Mzdy a další př'!C$50, $BD$51:$BQ$51)</f>
        <v>1053918.293</v>
      </c>
      <c r="D40" s="365">
        <f t="array" ref="D40">0.5*$BC$51+NPV('Pomocná data IV.Mzdy a další př'!D$50, $BD$51:$BQ$51)</f>
        <v>933110.1902</v>
      </c>
      <c r="E40" s="352">
        <f t="array" ref="E40">0.5*$BC$50+NPV('Pomocná data IV.Mzdy a další př'!B$50,$BD$50:$BK$50)</f>
        <v>496991.5574</v>
      </c>
      <c r="F40" s="24">
        <f t="array" ref="F40">0.5*$BC$50+NPV('Pomocná data IV.Mzdy a další př'!C$50,$BD$50:$BK$50)</f>
        <v>459347.2194</v>
      </c>
      <c r="G40" s="207">
        <f t="array" ref="G40">0.5*$BC$50+NPV('Pomocná data IV.Mzdy a další př'!D$50,$BD$50:$BK$50)</f>
        <v>426134.916</v>
      </c>
    </row>
    <row r="41" ht="15.75" customHeight="1">
      <c r="A41" s="366" t="s">
        <v>458</v>
      </c>
      <c r="B41" s="367">
        <f t="array" ref="B41">0.5*$BH$51+NPV('Pomocná data IV.Mzdy a další př'!B$50, $BI$51:$BQ$51)</f>
        <v>825200.0617</v>
      </c>
      <c r="C41" s="22">
        <f t="array" ref="C41">0.5*$BH$51+NPV('Pomocná data IV.Mzdy a další př'!C$50, $BI$51:$BQ$51)</f>
        <v>755952.1122</v>
      </c>
      <c r="D41" s="368">
        <f t="array" ref="D41">0.5*$BH$51+NPV('Pomocná data IV.Mzdy a další př'!D$50, $BI$51:$BQ$51)</f>
        <v>695589.04</v>
      </c>
      <c r="E41" s="352">
        <f t="array" ref="E41">0.5*$BH$50+NPV('Pomocná data IV.Mzdy a další př'!B$50,$BI$50:$BK$50)</f>
        <v>214908.3645</v>
      </c>
      <c r="F41" s="24">
        <f t="array" ref="F41">0.5*$BH$50+NPV('Pomocná data IV.Mzdy a další př'!C$50,$BI$50:$BK$50)</f>
        <v>207999.0357</v>
      </c>
      <c r="G41" s="207">
        <f t="array" ref="G41">0.5*$BH$50+NPV('Pomocná data IV.Mzdy a další př'!D$50,$BI$50:$BK$50)</f>
        <v>201516.0553</v>
      </c>
    </row>
    <row r="42" ht="15.75" customHeight="1">
      <c r="A42" s="369" t="s">
        <v>459</v>
      </c>
      <c r="B42" s="370">
        <f t="array" ref="B42">0.5*$BM$51+NPV('Pomocná data IV.Mzdy a další př'!B$50, $BN$51:$BQ$51)</f>
        <v>410371.8368</v>
      </c>
      <c r="C42" s="371">
        <f t="array" ref="C42">0.5*$BM$51+NPV('Pomocná data IV.Mzdy a další př'!C$50, $BN$51:$BQ$51)</f>
        <v>393430.6934</v>
      </c>
      <c r="D42" s="372">
        <f t="array" ref="D42">0.5*$BM$51+NPV('Pomocná data IV.Mzdy a další př'!D$50, $BN$51:$BQ$51)</f>
        <v>377732.1617</v>
      </c>
      <c r="E42" s="373" t="s">
        <v>464</v>
      </c>
      <c r="F42" s="374" t="s">
        <v>464</v>
      </c>
      <c r="G42" s="375" t="s">
        <v>464</v>
      </c>
    </row>
    <row r="43" ht="15.75" customHeight="1">
      <c r="A43" s="13"/>
    </row>
    <row r="44" ht="15.75" customHeight="1">
      <c r="A44" s="13" t="s">
        <v>465</v>
      </c>
      <c r="B44" s="14">
        <v>15.0</v>
      </c>
      <c r="C44" s="14">
        <v>16.0</v>
      </c>
      <c r="D44" s="14">
        <v>17.0</v>
      </c>
      <c r="E44" s="14">
        <v>18.0</v>
      </c>
      <c r="F44" s="14">
        <v>19.0</v>
      </c>
      <c r="G44" s="14">
        <v>20.0</v>
      </c>
      <c r="H44" s="14">
        <v>21.0</v>
      </c>
      <c r="I44" s="14">
        <v>22.0</v>
      </c>
      <c r="J44" s="14">
        <v>23.0</v>
      </c>
      <c r="K44" s="14">
        <v>24.0</v>
      </c>
      <c r="L44" s="14">
        <v>25.0</v>
      </c>
      <c r="M44" s="14">
        <v>26.0</v>
      </c>
      <c r="N44" s="14">
        <v>27.0</v>
      </c>
      <c r="O44" s="14">
        <v>28.0</v>
      </c>
      <c r="P44" s="14">
        <v>29.0</v>
      </c>
      <c r="Q44" s="14">
        <v>30.0</v>
      </c>
      <c r="R44" s="14">
        <v>31.0</v>
      </c>
      <c r="S44" s="14">
        <v>32.0</v>
      </c>
      <c r="T44" s="14">
        <v>33.0</v>
      </c>
      <c r="U44" s="14">
        <v>34.0</v>
      </c>
      <c r="V44" s="14">
        <v>35.0</v>
      </c>
      <c r="W44" s="14">
        <v>36.0</v>
      </c>
      <c r="X44" s="14">
        <v>37.0</v>
      </c>
      <c r="Y44" s="14">
        <v>38.0</v>
      </c>
      <c r="Z44" s="14">
        <v>39.0</v>
      </c>
      <c r="AA44" s="14">
        <v>40.0</v>
      </c>
      <c r="AB44" s="14">
        <v>41.0</v>
      </c>
      <c r="AC44" s="14">
        <v>42.0</v>
      </c>
      <c r="AD44" s="14">
        <v>43.0</v>
      </c>
      <c r="AE44" s="14">
        <v>44.0</v>
      </c>
      <c r="AF44" s="14">
        <v>45.0</v>
      </c>
      <c r="AG44" s="14">
        <v>46.0</v>
      </c>
      <c r="AH44" s="14">
        <v>47.0</v>
      </c>
      <c r="AI44" s="14">
        <v>48.0</v>
      </c>
      <c r="AJ44" s="14">
        <v>49.0</v>
      </c>
      <c r="AK44" s="14">
        <v>50.0</v>
      </c>
      <c r="AL44" s="14">
        <v>51.0</v>
      </c>
      <c r="AM44" s="14">
        <v>52.0</v>
      </c>
      <c r="AN44" s="14">
        <v>53.0</v>
      </c>
      <c r="AO44" s="14">
        <v>54.0</v>
      </c>
      <c r="AP44" s="14">
        <v>55.0</v>
      </c>
      <c r="AQ44" s="14">
        <v>56.0</v>
      </c>
      <c r="AR44" s="14">
        <v>57.0</v>
      </c>
      <c r="AS44" s="14">
        <v>58.0</v>
      </c>
      <c r="AT44" s="14">
        <v>59.0</v>
      </c>
      <c r="AU44" s="14">
        <v>60.0</v>
      </c>
      <c r="AV44" s="14">
        <v>61.0</v>
      </c>
      <c r="AW44" s="14">
        <v>62.0</v>
      </c>
      <c r="AX44" s="14">
        <v>63.0</v>
      </c>
      <c r="AY44" s="14">
        <v>64.0</v>
      </c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</row>
    <row r="45" ht="15.75" customHeight="1">
      <c r="A45" s="14" t="s">
        <v>283</v>
      </c>
      <c r="B45" s="24">
        <f>12*'Pomocná data IV.Mzdy a další př'!$E$4</f>
        <v>368971.68</v>
      </c>
      <c r="C45" s="24">
        <f>12*'Pomocná data IV.Mzdy a další př'!$E$4</f>
        <v>368971.68</v>
      </c>
      <c r="D45" s="24">
        <f>12*'Pomocná data IV.Mzdy a další př'!$E$4</f>
        <v>368971.68</v>
      </c>
      <c r="E45" s="24">
        <f>12*'Pomocná data IV.Mzdy a další př'!$E$4</f>
        <v>368971.68</v>
      </c>
      <c r="F45" s="24">
        <f>12*'Pomocná data IV.Mzdy a další př'!$E$4</f>
        <v>368971.68</v>
      </c>
      <c r="G45" s="24">
        <f>12*'Pomocná data IV.Mzdy a další př'!$E$5</f>
        <v>424126.08</v>
      </c>
      <c r="H45" s="24">
        <f>12*'Pomocná data IV.Mzdy a další př'!$E$5</f>
        <v>424126.08</v>
      </c>
      <c r="I45" s="24">
        <f>12*'Pomocná data IV.Mzdy a další př'!$E$5</f>
        <v>424126.08</v>
      </c>
      <c r="J45" s="24">
        <f>12*'Pomocná data IV.Mzdy a další př'!$E$5</f>
        <v>424126.08</v>
      </c>
      <c r="K45" s="24">
        <f>12*'Pomocná data IV.Mzdy a další př'!$E$5</f>
        <v>424126.08</v>
      </c>
      <c r="L45" s="24">
        <f>12*'Pomocná data IV.Mzdy a další př'!$E$6</f>
        <v>511617.36</v>
      </c>
      <c r="M45" s="24">
        <f>12*'Pomocná data IV.Mzdy a další př'!$E$6</f>
        <v>511617.36</v>
      </c>
      <c r="N45" s="24">
        <f>12*'Pomocná data IV.Mzdy a další př'!$E$6</f>
        <v>511617.36</v>
      </c>
      <c r="O45" s="24">
        <f>12*'Pomocná data IV.Mzdy a další př'!$E$6</f>
        <v>511617.36</v>
      </c>
      <c r="P45" s="24">
        <f>12*'Pomocná data IV.Mzdy a další př'!$E$6</f>
        <v>511617.36</v>
      </c>
      <c r="Q45" s="24">
        <f>12*'Pomocná data IV.Mzdy a další př'!$E$7</f>
        <v>586839.6</v>
      </c>
      <c r="R45" s="24">
        <f>12*'Pomocná data IV.Mzdy a další př'!$E$7</f>
        <v>586839.6</v>
      </c>
      <c r="S45" s="24">
        <f>12*'Pomocná data IV.Mzdy a další př'!$E$7</f>
        <v>586839.6</v>
      </c>
      <c r="T45" s="24">
        <f>12*'Pomocná data IV.Mzdy a další př'!$E$7</f>
        <v>586839.6</v>
      </c>
      <c r="U45" s="24">
        <f>12*'Pomocná data IV.Mzdy a další př'!$E$7</f>
        <v>586839.6</v>
      </c>
      <c r="V45" s="24">
        <f>12*'Pomocná data IV.Mzdy a další př'!$E$8</f>
        <v>638295.6</v>
      </c>
      <c r="W45" s="24">
        <f>12*'Pomocná data IV.Mzdy a další př'!$E$8</f>
        <v>638295.6</v>
      </c>
      <c r="X45" s="24">
        <f>12*'Pomocná data IV.Mzdy a další př'!$E$8</f>
        <v>638295.6</v>
      </c>
      <c r="Y45" s="24">
        <f>12*'Pomocná data IV.Mzdy a další př'!$E$8</f>
        <v>638295.6</v>
      </c>
      <c r="Z45" s="24">
        <f>12*'Pomocná data IV.Mzdy a další př'!$E$8</f>
        <v>638295.6</v>
      </c>
      <c r="AA45" s="24">
        <f>12*'Pomocná data IV.Mzdy a další př'!$E$9</f>
        <v>667143.12</v>
      </c>
      <c r="AB45" s="24">
        <f>12*'Pomocná data IV.Mzdy a další př'!$E$9</f>
        <v>667143.12</v>
      </c>
      <c r="AC45" s="24">
        <f>12*'Pomocná data IV.Mzdy a další př'!$E$9</f>
        <v>667143.12</v>
      </c>
      <c r="AD45" s="24">
        <f>12*'Pomocná data IV.Mzdy a další př'!$E$9</f>
        <v>667143.12</v>
      </c>
      <c r="AE45" s="24">
        <f>12*'Pomocná data IV.Mzdy a další př'!$E$9</f>
        <v>667143.12</v>
      </c>
      <c r="AF45" s="24">
        <f>12*'Pomocná data IV.Mzdy a další př'!$E$10</f>
        <v>643409.04</v>
      </c>
      <c r="AG45" s="24">
        <f>12*'Pomocná data IV.Mzdy a další př'!$E$10</f>
        <v>643409.04</v>
      </c>
      <c r="AH45" s="24">
        <f>12*'Pomocná data IV.Mzdy a další př'!$E$10</f>
        <v>643409.04</v>
      </c>
      <c r="AI45" s="24">
        <f>12*'Pomocná data IV.Mzdy a další př'!$E$10</f>
        <v>643409.04</v>
      </c>
      <c r="AJ45" s="24">
        <f>12*'Pomocná data IV.Mzdy a další př'!$E$10</f>
        <v>643409.04</v>
      </c>
      <c r="AK45" s="24">
        <f>12*'Pomocná data IV.Mzdy a další př'!$E$11</f>
        <v>608756.64</v>
      </c>
      <c r="AL45" s="24">
        <f>12*'Pomocná data IV.Mzdy a další př'!$E$11</f>
        <v>608756.64</v>
      </c>
      <c r="AM45" s="24">
        <f>12*'Pomocná data IV.Mzdy a další př'!$E$11</f>
        <v>608756.64</v>
      </c>
      <c r="AN45" s="24">
        <f>12*'Pomocná data IV.Mzdy a další př'!$E$11</f>
        <v>608756.64</v>
      </c>
      <c r="AO45" s="24">
        <f>12*'Pomocná data IV.Mzdy a další př'!$E$11</f>
        <v>608756.64</v>
      </c>
      <c r="AP45" s="24">
        <f>12*'Pomocná data IV.Mzdy a další př'!$E$12</f>
        <v>572496.24</v>
      </c>
      <c r="AQ45" s="24">
        <f>12*'Pomocná data IV.Mzdy a další př'!$E$12</f>
        <v>572496.24</v>
      </c>
      <c r="AR45" s="24">
        <f>12*'Pomocná data IV.Mzdy a další př'!$E$12</f>
        <v>572496.24</v>
      </c>
      <c r="AS45" s="24">
        <f>12*'Pomocná data IV.Mzdy a další př'!$E$12</f>
        <v>572496.24</v>
      </c>
      <c r="AT45" s="24">
        <f>12*'Pomocná data IV.Mzdy a další př'!$E$12</f>
        <v>572496.24</v>
      </c>
      <c r="AU45" s="24">
        <f>12*'Pomocná data IV.Mzdy a další př'!$E$13</f>
        <v>563394.96</v>
      </c>
      <c r="AV45" s="24">
        <f>12*'Pomocná data IV.Mzdy a další př'!$E$13</f>
        <v>563394.96</v>
      </c>
      <c r="AW45" s="24">
        <f>12*'Pomocná data IV.Mzdy a další př'!$E$13</f>
        <v>563394.96</v>
      </c>
      <c r="AX45" s="24">
        <f>12*'Pomocná data IV.Mzdy a další př'!$E$13</f>
        <v>563394.96</v>
      </c>
      <c r="AY45" s="24">
        <f>12*'Pomocná data IV.Mzdy a další př'!$E$13</f>
        <v>563394.96</v>
      </c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</row>
    <row r="46" ht="15.75" customHeight="1">
      <c r="A46" s="192" t="s">
        <v>284</v>
      </c>
      <c r="B46" s="206">
        <f>12*'Pomocná data IV.Mzdy a další př'!$F$4</f>
        <v>335686.08</v>
      </c>
      <c r="C46" s="206">
        <f>12*'Pomocná data IV.Mzdy a další př'!$F$4</f>
        <v>335686.08</v>
      </c>
      <c r="D46" s="206">
        <f>12*'Pomocná data IV.Mzdy a další př'!$F$4</f>
        <v>335686.08</v>
      </c>
      <c r="E46" s="206">
        <f>12*'Pomocná data IV.Mzdy a další př'!$F$4</f>
        <v>335686.08</v>
      </c>
      <c r="F46" s="206">
        <f>12*'Pomocná data IV.Mzdy a další př'!$F$4</f>
        <v>335686.08</v>
      </c>
      <c r="G46" s="206">
        <f>12*'Pomocná data IV.Mzdy a další př'!$F$5</f>
        <v>376947.36</v>
      </c>
      <c r="H46" s="206">
        <f>12*'Pomocná data IV.Mzdy a další př'!$F$5</f>
        <v>376947.36</v>
      </c>
      <c r="I46" s="206">
        <f>12*'Pomocná data IV.Mzdy a další př'!$F$5</f>
        <v>376947.36</v>
      </c>
      <c r="J46" s="206">
        <f>12*'Pomocná data IV.Mzdy a další př'!$F$5</f>
        <v>376947.36</v>
      </c>
      <c r="K46" s="206">
        <f>12*'Pomocná data IV.Mzdy a další př'!$F$5</f>
        <v>376947.36</v>
      </c>
      <c r="L46" s="206">
        <f>12*'Pomocná data IV.Mzdy a další př'!$F$6</f>
        <v>455289.12</v>
      </c>
      <c r="M46" s="206">
        <f>12*'Pomocná data IV.Mzdy a další př'!$F$6</f>
        <v>455289.12</v>
      </c>
      <c r="N46" s="206">
        <f>12*'Pomocná data IV.Mzdy a další př'!$F$6</f>
        <v>455289.12</v>
      </c>
      <c r="O46" s="206">
        <f>12*'Pomocná data IV.Mzdy a další př'!$F$6</f>
        <v>455289.12</v>
      </c>
      <c r="P46" s="206">
        <f>12*'Pomocná data IV.Mzdy a další př'!$F$6</f>
        <v>455289.12</v>
      </c>
      <c r="Q46" s="206">
        <f>12*'Pomocná data IV.Mzdy a další př'!$F$7</f>
        <v>492852</v>
      </c>
      <c r="R46" s="206">
        <f>12*'Pomocná data IV.Mzdy a další př'!$F$7</f>
        <v>492852</v>
      </c>
      <c r="S46" s="206">
        <f>12*'Pomocná data IV.Mzdy a další př'!$F$7</f>
        <v>492852</v>
      </c>
      <c r="T46" s="206">
        <f>12*'Pomocná data IV.Mzdy a další př'!$F$7</f>
        <v>492852</v>
      </c>
      <c r="U46" s="206">
        <f>12*'Pomocná data IV.Mzdy a další př'!$F$7</f>
        <v>492852</v>
      </c>
      <c r="V46" s="206">
        <f>12*'Pomocná data IV.Mzdy a další př'!$F$8</f>
        <v>484715.52</v>
      </c>
      <c r="W46" s="206">
        <f>12*'Pomocná data IV.Mzdy a další př'!$F$8</f>
        <v>484715.52</v>
      </c>
      <c r="X46" s="206">
        <f>12*'Pomocná data IV.Mzdy a další př'!$F$8</f>
        <v>484715.52</v>
      </c>
      <c r="Y46" s="206">
        <f>12*'Pomocná data IV.Mzdy a další př'!$F$8</f>
        <v>484715.52</v>
      </c>
      <c r="Z46" s="206">
        <f>12*'Pomocná data IV.Mzdy a další př'!$F$8</f>
        <v>484715.52</v>
      </c>
      <c r="AA46" s="206">
        <f>12*'Pomocná data IV.Mzdy a další př'!$F$9</f>
        <v>484972.8</v>
      </c>
      <c r="AB46" s="206">
        <f>12*'Pomocná data IV.Mzdy a další př'!$F$9</f>
        <v>484972.8</v>
      </c>
      <c r="AC46" s="206">
        <f>12*'Pomocná data IV.Mzdy a další př'!$F$9</f>
        <v>484972.8</v>
      </c>
      <c r="AD46" s="206">
        <f>12*'Pomocná data IV.Mzdy a další př'!$F$9</f>
        <v>484972.8</v>
      </c>
      <c r="AE46" s="206">
        <f>12*'Pomocná data IV.Mzdy a další př'!$F$9</f>
        <v>484972.8</v>
      </c>
      <c r="AF46" s="206">
        <f>12*'Pomocná data IV.Mzdy a další př'!$F$10</f>
        <v>479232.24</v>
      </c>
      <c r="AG46" s="206">
        <f>12*'Pomocná data IV.Mzdy a další př'!$F$10</f>
        <v>479232.24</v>
      </c>
      <c r="AH46" s="206">
        <f>12*'Pomocná data IV.Mzdy a další př'!$F$10</f>
        <v>479232.24</v>
      </c>
      <c r="AI46" s="206">
        <f>12*'Pomocná data IV.Mzdy a další př'!$F$10</f>
        <v>479232.24</v>
      </c>
      <c r="AJ46" s="206">
        <f>12*'Pomocná data IV.Mzdy a další př'!$F$10</f>
        <v>479232.24</v>
      </c>
      <c r="AK46" s="206">
        <f>12*'Pomocná data IV.Mzdy a další př'!$F$11</f>
        <v>480920.64</v>
      </c>
      <c r="AL46" s="206">
        <f>12*'Pomocná data IV.Mzdy a další př'!$F$11</f>
        <v>480920.64</v>
      </c>
      <c r="AM46" s="206">
        <f>12*'Pomocná data IV.Mzdy a další př'!$F$11</f>
        <v>480920.64</v>
      </c>
      <c r="AN46" s="206">
        <f>12*'Pomocná data IV.Mzdy a další př'!$F$11</f>
        <v>480920.64</v>
      </c>
      <c r="AO46" s="206">
        <f>12*'Pomocná data IV.Mzdy a další př'!$F$11</f>
        <v>480920.64</v>
      </c>
      <c r="AP46" s="206">
        <f>12*'Pomocná data IV.Mzdy a další př'!$F$12</f>
        <v>472719.84</v>
      </c>
      <c r="AQ46" s="206">
        <f>12*'Pomocná data IV.Mzdy a další př'!$F$12</f>
        <v>472719.84</v>
      </c>
      <c r="AR46" s="206">
        <f>12*'Pomocná data IV.Mzdy a další př'!$F$12</f>
        <v>472719.84</v>
      </c>
      <c r="AS46" s="206">
        <f>12*'Pomocná data IV.Mzdy a další př'!$F$12</f>
        <v>472719.84</v>
      </c>
      <c r="AT46" s="206">
        <f>12*'Pomocná data IV.Mzdy a další př'!$F$12</f>
        <v>472719.84</v>
      </c>
      <c r="AU46" s="206">
        <f>12*'Pomocná data IV.Mzdy a další př'!$F$13</f>
        <v>518917.68</v>
      </c>
      <c r="AV46" s="206">
        <f>12*'Pomocná data IV.Mzdy a další př'!$F$13</f>
        <v>518917.68</v>
      </c>
      <c r="AW46" s="206">
        <f>12*'Pomocná data IV.Mzdy a další př'!$F$13</f>
        <v>518917.68</v>
      </c>
      <c r="AX46" s="206">
        <f>12*'Pomocná data IV.Mzdy a další př'!$F$13</f>
        <v>518917.68</v>
      </c>
      <c r="AY46" s="206">
        <f>12*'Pomocná data IV.Mzdy a další př'!$F$13</f>
        <v>518917.68</v>
      </c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</row>
    <row r="47" ht="15.75" customHeight="1">
      <c r="A47" s="198" t="s">
        <v>466</v>
      </c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</row>
    <row r="48" ht="15.75" customHeight="1">
      <c r="A48" s="198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</row>
    <row r="49" ht="15.75" customHeight="1">
      <c r="A49" s="376" t="s">
        <v>428</v>
      </c>
      <c r="B49" s="377">
        <v>15.0</v>
      </c>
      <c r="C49" s="377">
        <v>16.0</v>
      </c>
      <c r="D49" s="377">
        <v>17.0</v>
      </c>
      <c r="E49" s="377">
        <v>18.0</v>
      </c>
      <c r="F49" s="377">
        <v>19.0</v>
      </c>
      <c r="G49" s="377">
        <v>20.0</v>
      </c>
      <c r="H49" s="377">
        <v>21.0</v>
      </c>
      <c r="I49" s="377">
        <v>22.0</v>
      </c>
      <c r="J49" s="377">
        <v>23.0</v>
      </c>
      <c r="K49" s="377">
        <v>24.0</v>
      </c>
      <c r="L49" s="377">
        <v>25.0</v>
      </c>
      <c r="M49" s="377">
        <v>26.0</v>
      </c>
      <c r="N49" s="377">
        <v>27.0</v>
      </c>
      <c r="O49" s="377">
        <v>28.0</v>
      </c>
      <c r="P49" s="377">
        <v>29.0</v>
      </c>
      <c r="Q49" s="377">
        <v>30.0</v>
      </c>
      <c r="R49" s="377">
        <v>31.0</v>
      </c>
      <c r="S49" s="377">
        <v>32.0</v>
      </c>
      <c r="T49" s="377">
        <v>33.0</v>
      </c>
      <c r="U49" s="377">
        <v>34.0</v>
      </c>
      <c r="V49" s="377">
        <v>35.0</v>
      </c>
      <c r="W49" s="377">
        <v>36.0</v>
      </c>
      <c r="X49" s="377">
        <v>37.0</v>
      </c>
      <c r="Y49" s="377">
        <v>38.0</v>
      </c>
      <c r="Z49" s="377">
        <v>39.0</v>
      </c>
      <c r="AA49" s="377">
        <v>40.0</v>
      </c>
      <c r="AB49" s="377">
        <v>41.0</v>
      </c>
      <c r="AC49" s="377">
        <v>42.0</v>
      </c>
      <c r="AD49" s="377">
        <v>43.0</v>
      </c>
      <c r="AE49" s="377">
        <v>44.0</v>
      </c>
      <c r="AF49" s="377">
        <v>45.0</v>
      </c>
      <c r="AG49" s="377">
        <v>46.0</v>
      </c>
      <c r="AH49" s="377">
        <v>47.0</v>
      </c>
      <c r="AI49" s="377">
        <v>48.0</v>
      </c>
      <c r="AJ49" s="377">
        <v>49.0</v>
      </c>
      <c r="AK49" s="377">
        <v>50.0</v>
      </c>
      <c r="AL49" s="377">
        <v>51.0</v>
      </c>
      <c r="AM49" s="377">
        <v>52.0</v>
      </c>
      <c r="AN49" s="377">
        <v>53.0</v>
      </c>
      <c r="AO49" s="377">
        <v>54.0</v>
      </c>
      <c r="AP49" s="377">
        <v>55.0</v>
      </c>
      <c r="AQ49" s="377">
        <v>56.0</v>
      </c>
      <c r="AR49" s="377">
        <v>57.0</v>
      </c>
      <c r="AS49" s="377">
        <v>58.0</v>
      </c>
      <c r="AT49" s="377">
        <v>59.0</v>
      </c>
      <c r="AU49" s="377">
        <v>60.0</v>
      </c>
      <c r="AV49" s="377">
        <v>61.0</v>
      </c>
      <c r="AW49" s="377">
        <v>62.0</v>
      </c>
      <c r="AX49" s="377">
        <v>63.0</v>
      </c>
      <c r="AY49" s="377">
        <v>64.0</v>
      </c>
      <c r="AZ49" s="377">
        <v>65.0</v>
      </c>
      <c r="BA49" s="377">
        <v>66.0</v>
      </c>
      <c r="BB49" s="377">
        <v>67.0</v>
      </c>
      <c r="BC49" s="377">
        <v>68.0</v>
      </c>
      <c r="BD49" s="377">
        <v>69.0</v>
      </c>
      <c r="BE49" s="377">
        <v>70.0</v>
      </c>
      <c r="BF49" s="377">
        <v>71.0</v>
      </c>
      <c r="BG49" s="377">
        <v>72.0</v>
      </c>
      <c r="BH49" s="377">
        <v>73.0</v>
      </c>
      <c r="BI49" s="377">
        <v>74.0</v>
      </c>
      <c r="BJ49" s="377">
        <v>75.0</v>
      </c>
      <c r="BK49" s="377">
        <v>76.0</v>
      </c>
      <c r="BL49" s="377">
        <v>77.0</v>
      </c>
      <c r="BM49" s="377">
        <v>78.0</v>
      </c>
      <c r="BN49" s="377">
        <v>79.0</v>
      </c>
      <c r="BO49" s="377">
        <v>80.0</v>
      </c>
      <c r="BP49" s="377">
        <v>81.0</v>
      </c>
      <c r="BQ49" s="377">
        <v>82.0</v>
      </c>
    </row>
    <row r="50" ht="15.75" customHeight="1">
      <c r="A50" s="13" t="s">
        <v>283</v>
      </c>
      <c r="B50" s="378">
        <f>12*'Pomocná data IV.Mzdy a další př'!$G$4</f>
        <v>432481.0706</v>
      </c>
      <c r="C50" s="378">
        <f>12*'Pomocná data IV.Mzdy a další př'!$G$4</f>
        <v>432481.0706</v>
      </c>
      <c r="D50" s="378">
        <f>12*'Pomocná data IV.Mzdy a další př'!$G$4</f>
        <v>432481.0706</v>
      </c>
      <c r="E50" s="378">
        <f>12*'Pomocná data IV.Mzdy a další př'!$G$4</f>
        <v>432481.0706</v>
      </c>
      <c r="F50" s="378">
        <f>12*'Pomocná data IV.Mzdy a další př'!$G$4</f>
        <v>432481.0706</v>
      </c>
      <c r="G50" s="378">
        <f>12*'Pomocná data IV.Mzdy a další př'!$G$5</f>
        <v>487635.4706</v>
      </c>
      <c r="H50" s="378">
        <f>12*'Pomocná data IV.Mzdy a další př'!$G$5</f>
        <v>487635.4706</v>
      </c>
      <c r="I50" s="378">
        <f>12*'Pomocná data IV.Mzdy a další př'!$G$5</f>
        <v>487635.4706</v>
      </c>
      <c r="J50" s="378">
        <f>12*'Pomocná data IV.Mzdy a další př'!$G$5</f>
        <v>487635.4706</v>
      </c>
      <c r="K50" s="378">
        <f>12*'Pomocná data IV.Mzdy a další př'!$G$5</f>
        <v>487635.4706</v>
      </c>
      <c r="L50" s="378">
        <f>12*'Pomocná data IV.Mzdy a další př'!$G$6</f>
        <v>575126.7506</v>
      </c>
      <c r="M50" s="378">
        <f>12*'Pomocná data IV.Mzdy a další př'!$G$6</f>
        <v>575126.7506</v>
      </c>
      <c r="N50" s="378">
        <f>12*'Pomocná data IV.Mzdy a další př'!$G$6</f>
        <v>575126.7506</v>
      </c>
      <c r="O50" s="378">
        <f>12*'Pomocná data IV.Mzdy a další př'!$G$6</f>
        <v>575126.7506</v>
      </c>
      <c r="P50" s="378">
        <f>12*'Pomocná data IV.Mzdy a další př'!$G$6</f>
        <v>575126.7506</v>
      </c>
      <c r="Q50" s="378">
        <f>12*'Pomocná data IV.Mzdy a další př'!$G$7</f>
        <v>650348.9906</v>
      </c>
      <c r="R50" s="378">
        <f>12*'Pomocná data IV.Mzdy a další př'!$G$7</f>
        <v>650348.9906</v>
      </c>
      <c r="S50" s="378">
        <f>12*'Pomocná data IV.Mzdy a další př'!$G$7</f>
        <v>650348.9906</v>
      </c>
      <c r="T50" s="378">
        <f>12*'Pomocná data IV.Mzdy a další př'!$G$7</f>
        <v>650348.9906</v>
      </c>
      <c r="U50" s="378">
        <f>12*'Pomocná data IV.Mzdy a další př'!$G$7</f>
        <v>650348.9906</v>
      </c>
      <c r="V50" s="378">
        <f>12*'Pomocná data IV.Mzdy a další př'!$G$8</f>
        <v>701804.9906</v>
      </c>
      <c r="W50" s="378">
        <f>12*'Pomocná data IV.Mzdy a další př'!$G$8</f>
        <v>701804.9906</v>
      </c>
      <c r="X50" s="378">
        <f>12*'Pomocná data IV.Mzdy a další př'!$G$8</f>
        <v>701804.9906</v>
      </c>
      <c r="Y50" s="378">
        <f>12*'Pomocná data IV.Mzdy a další př'!$G$8</f>
        <v>701804.9906</v>
      </c>
      <c r="Z50" s="378">
        <f>12*'Pomocná data IV.Mzdy a další př'!$G$8</f>
        <v>701804.9906</v>
      </c>
      <c r="AA50" s="378">
        <f>12*'Pomocná data IV.Mzdy a další př'!$G$9</f>
        <v>730652.5106</v>
      </c>
      <c r="AB50" s="378">
        <f>12*'Pomocná data IV.Mzdy a další př'!$G$9</f>
        <v>730652.5106</v>
      </c>
      <c r="AC50" s="378">
        <f>12*'Pomocná data IV.Mzdy a další př'!$G$9</f>
        <v>730652.5106</v>
      </c>
      <c r="AD50" s="378">
        <f>12*'Pomocná data IV.Mzdy a další př'!$G$9</f>
        <v>730652.5106</v>
      </c>
      <c r="AE50" s="378">
        <f>12*'Pomocná data IV.Mzdy a další př'!$G$9</f>
        <v>730652.5106</v>
      </c>
      <c r="AF50" s="378">
        <f>12*'Pomocná data IV.Mzdy a další př'!$G$10</f>
        <v>706918.4306</v>
      </c>
      <c r="AG50" s="378">
        <f>12*'Pomocná data IV.Mzdy a další př'!$G$10</f>
        <v>706918.4306</v>
      </c>
      <c r="AH50" s="378">
        <f>12*'Pomocná data IV.Mzdy a další př'!$G$10</f>
        <v>706918.4306</v>
      </c>
      <c r="AI50" s="378">
        <f>12*'Pomocná data IV.Mzdy a další př'!$G$10</f>
        <v>706918.4306</v>
      </c>
      <c r="AJ50" s="378">
        <f>12*'Pomocná data IV.Mzdy a další př'!$G$10</f>
        <v>706918.4306</v>
      </c>
      <c r="AK50" s="378">
        <f>12*'Pomocná data IV.Mzdy a další př'!$G$11</f>
        <v>672266.0306</v>
      </c>
      <c r="AL50" s="378">
        <f>12*'Pomocná data IV.Mzdy a další př'!$G$11</f>
        <v>672266.0306</v>
      </c>
      <c r="AM50" s="378">
        <f>12*'Pomocná data IV.Mzdy a další př'!$G$11</f>
        <v>672266.0306</v>
      </c>
      <c r="AN50" s="378">
        <f>12*'Pomocná data IV.Mzdy a další př'!$G$11</f>
        <v>672266.0306</v>
      </c>
      <c r="AO50" s="378">
        <f>12*'Pomocná data IV.Mzdy a další př'!$G$11</f>
        <v>672266.0306</v>
      </c>
      <c r="AP50" s="378">
        <f>12*'Pomocná data IV.Mzdy a další př'!$G$12</f>
        <v>636005.6306</v>
      </c>
      <c r="AQ50" s="378">
        <f>12*'Pomocná data IV.Mzdy a další př'!$G$12</f>
        <v>636005.6306</v>
      </c>
      <c r="AR50" s="378">
        <f>12*'Pomocná data IV.Mzdy a další př'!$G$12</f>
        <v>636005.6306</v>
      </c>
      <c r="AS50" s="378">
        <f>12*'Pomocná data IV.Mzdy a další př'!$G$12</f>
        <v>636005.6306</v>
      </c>
      <c r="AT50" s="378">
        <f>12*'Pomocná data IV.Mzdy a další př'!$G$12</f>
        <v>636005.6306</v>
      </c>
      <c r="AU50" s="378">
        <f>12*'Pomocná data IV.Mzdy a další př'!$G$13</f>
        <v>626904.3506</v>
      </c>
      <c r="AV50" s="378">
        <f>12*'Pomocná data IV.Mzdy a další př'!$G$13</f>
        <v>626904.3506</v>
      </c>
      <c r="AW50" s="378">
        <f>12*'Pomocná data IV.Mzdy a další př'!$G$13</f>
        <v>626904.3506</v>
      </c>
      <c r="AX50" s="378">
        <f>12*'Pomocná data IV.Mzdy a další př'!$G$13</f>
        <v>626904.3506</v>
      </c>
      <c r="AY50" s="378">
        <f>12*'Pomocná data IV.Mzdy a další př'!$G$13</f>
        <v>626904.3506</v>
      </c>
      <c r="AZ50" s="378">
        <f>12*'Pomocná data IV.Mzdy a další př'!$I$14</f>
        <v>63509.3906</v>
      </c>
      <c r="BA50" s="378">
        <f>12*'Pomocná data IV.Mzdy a další př'!$I$14</f>
        <v>63509.3906</v>
      </c>
      <c r="BB50" s="378">
        <f>12*'Pomocná data IV.Mzdy a další př'!$I$14</f>
        <v>63509.3906</v>
      </c>
      <c r="BC50" s="378">
        <f>12*'Pomocná data IV.Mzdy a další př'!$I$14</f>
        <v>63509.3906</v>
      </c>
      <c r="BD50" s="378">
        <f>12*'Pomocná data IV.Mzdy a další př'!$I$14</f>
        <v>63509.3906</v>
      </c>
      <c r="BE50" s="378">
        <f>12*'Pomocná data IV.Mzdy a další př'!$I$14</f>
        <v>63509.3906</v>
      </c>
      <c r="BF50" s="378">
        <f>12*'Pomocná data IV.Mzdy a další př'!$I$14</f>
        <v>63509.3906</v>
      </c>
      <c r="BG50" s="378">
        <f>12*'Pomocná data IV.Mzdy a další př'!$I$14</f>
        <v>63509.3906</v>
      </c>
      <c r="BH50" s="378">
        <f>12*'Pomocná data IV.Mzdy a další př'!$I$14</f>
        <v>63509.3906</v>
      </c>
      <c r="BI50" s="378">
        <f>12*'Pomocná data IV.Mzdy a další př'!$I$14</f>
        <v>63509.3906</v>
      </c>
      <c r="BJ50" s="378">
        <f>12*'Pomocná data IV.Mzdy a další př'!$I$14</f>
        <v>63509.3906</v>
      </c>
      <c r="BK50" s="378">
        <f>12*'Pomocná data IV.Mzdy a další př'!$I$14</f>
        <v>63509.3906</v>
      </c>
      <c r="BL50" s="198" t="s">
        <v>95</v>
      </c>
      <c r="BM50" s="198" t="s">
        <v>95</v>
      </c>
      <c r="BN50" s="198" t="s">
        <v>95</v>
      </c>
      <c r="BO50" s="198" t="s">
        <v>95</v>
      </c>
      <c r="BP50" s="198" t="s">
        <v>95</v>
      </c>
      <c r="BQ50" s="198" t="s">
        <v>95</v>
      </c>
    </row>
    <row r="51" ht="15.75" customHeight="1">
      <c r="A51" s="379" t="s">
        <v>284</v>
      </c>
      <c r="B51" s="378">
        <f>12*'Pomocná data IV.Mzdy a další př'!$H$4</f>
        <v>430950.1659</v>
      </c>
      <c r="C51" s="378">
        <f>12*'Pomocná data IV.Mzdy a další př'!$H$4</f>
        <v>430950.1659</v>
      </c>
      <c r="D51" s="378">
        <f>12*'Pomocná data IV.Mzdy a další př'!$H$4</f>
        <v>430950.1659</v>
      </c>
      <c r="E51" s="378">
        <f>12*'Pomocná data IV.Mzdy a další př'!$H$4</f>
        <v>430950.1659</v>
      </c>
      <c r="F51" s="378">
        <f>12*'Pomocná data IV.Mzdy a další př'!$H$4</f>
        <v>430950.1659</v>
      </c>
      <c r="G51" s="378">
        <f>12*'Pomocná data IV.Mzdy a další př'!$H$5</f>
        <v>472211.4459</v>
      </c>
      <c r="H51" s="378">
        <f>12*'Pomocná data IV.Mzdy a další př'!$H$5</f>
        <v>472211.4459</v>
      </c>
      <c r="I51" s="378">
        <f>12*'Pomocná data IV.Mzdy a další př'!$H$5</f>
        <v>472211.4459</v>
      </c>
      <c r="J51" s="378">
        <f>12*'Pomocná data IV.Mzdy a další př'!$H$5</f>
        <v>472211.4459</v>
      </c>
      <c r="K51" s="378">
        <f>12*'Pomocná data IV.Mzdy a další př'!$H$5</f>
        <v>472211.4459</v>
      </c>
      <c r="L51" s="378">
        <f>12*'Pomocná data IV.Mzdy a další př'!$H$6</f>
        <v>550553.2059</v>
      </c>
      <c r="M51" s="378">
        <f>12*'Pomocná data IV.Mzdy a další př'!$H$6</f>
        <v>550553.2059</v>
      </c>
      <c r="N51" s="378">
        <f>12*'Pomocná data IV.Mzdy a další př'!$H$6</f>
        <v>550553.2059</v>
      </c>
      <c r="O51" s="378">
        <f>12*'Pomocná data IV.Mzdy a další př'!$H$6</f>
        <v>550553.2059</v>
      </c>
      <c r="P51" s="378">
        <f>12*'Pomocná data IV.Mzdy a další př'!$H$6</f>
        <v>550553.2059</v>
      </c>
      <c r="Q51" s="378">
        <f>12*'Pomocná data IV.Mzdy a další př'!$H$7</f>
        <v>588116.0859</v>
      </c>
      <c r="R51" s="378">
        <f>12*'Pomocná data IV.Mzdy a další př'!$H$7</f>
        <v>588116.0859</v>
      </c>
      <c r="S51" s="378">
        <f>12*'Pomocná data IV.Mzdy a další př'!$H$7</f>
        <v>588116.0859</v>
      </c>
      <c r="T51" s="378">
        <f>12*'Pomocná data IV.Mzdy a další př'!$H$7</f>
        <v>588116.0859</v>
      </c>
      <c r="U51" s="378">
        <f>12*'Pomocná data IV.Mzdy a další př'!$H$7</f>
        <v>588116.0859</v>
      </c>
      <c r="V51" s="378">
        <f>12*'Pomocná data IV.Mzdy a další př'!$H$8</f>
        <v>579979.6059</v>
      </c>
      <c r="W51" s="378">
        <f>12*'Pomocná data IV.Mzdy a další př'!$H$8</f>
        <v>579979.6059</v>
      </c>
      <c r="X51" s="378">
        <f>12*'Pomocná data IV.Mzdy a další př'!$H$8</f>
        <v>579979.6059</v>
      </c>
      <c r="Y51" s="378">
        <f>12*'Pomocná data IV.Mzdy a další př'!$H$8</f>
        <v>579979.6059</v>
      </c>
      <c r="Z51" s="378">
        <f>12*'Pomocná data IV.Mzdy a další př'!$H$8</f>
        <v>579979.6059</v>
      </c>
      <c r="AA51" s="378">
        <f>12*'Pomocná data IV.Mzdy a další př'!$H$9</f>
        <v>580236.8859</v>
      </c>
      <c r="AB51" s="378">
        <f>12*'Pomocná data IV.Mzdy a další př'!$H$9</f>
        <v>580236.8859</v>
      </c>
      <c r="AC51" s="378">
        <f>12*'Pomocná data IV.Mzdy a další př'!$H$9</f>
        <v>580236.8859</v>
      </c>
      <c r="AD51" s="378">
        <f>12*'Pomocná data IV.Mzdy a další př'!$H$9</f>
        <v>580236.8859</v>
      </c>
      <c r="AE51" s="378">
        <f>12*'Pomocná data IV.Mzdy a další př'!$H$9</f>
        <v>580236.8859</v>
      </c>
      <c r="AF51" s="378">
        <f>12*'Pomocná data IV.Mzdy a další př'!$H$10</f>
        <v>574496.3259</v>
      </c>
      <c r="AG51" s="378">
        <f>12*'Pomocná data IV.Mzdy a další př'!$H$10</f>
        <v>574496.3259</v>
      </c>
      <c r="AH51" s="378">
        <f>12*'Pomocná data IV.Mzdy a další př'!$H$10</f>
        <v>574496.3259</v>
      </c>
      <c r="AI51" s="378">
        <f>12*'Pomocná data IV.Mzdy a další př'!$H$10</f>
        <v>574496.3259</v>
      </c>
      <c r="AJ51" s="378">
        <f>12*'Pomocná data IV.Mzdy a další př'!$H$10</f>
        <v>574496.3259</v>
      </c>
      <c r="AK51" s="378">
        <f>12*'Pomocná data IV.Mzdy a další př'!$H$11</f>
        <v>576184.7259</v>
      </c>
      <c r="AL51" s="378">
        <f>12*'Pomocná data IV.Mzdy a další př'!$H$11</f>
        <v>576184.7259</v>
      </c>
      <c r="AM51" s="378">
        <f>12*'Pomocná data IV.Mzdy a další př'!$H$11</f>
        <v>576184.7259</v>
      </c>
      <c r="AN51" s="378">
        <f>12*'Pomocná data IV.Mzdy a další př'!$H$11</f>
        <v>576184.7259</v>
      </c>
      <c r="AO51" s="378">
        <f>12*'Pomocná data IV.Mzdy a další př'!$H$11</f>
        <v>576184.7259</v>
      </c>
      <c r="AP51" s="378">
        <f>12*'Pomocná data IV.Mzdy a další př'!$H$12</f>
        <v>567983.9259</v>
      </c>
      <c r="AQ51" s="378">
        <f>12*'Pomocná data IV.Mzdy a další př'!$H$12</f>
        <v>567983.9259</v>
      </c>
      <c r="AR51" s="378">
        <f>12*'Pomocná data IV.Mzdy a další př'!$H$12</f>
        <v>567983.9259</v>
      </c>
      <c r="AS51" s="378">
        <f>12*'Pomocná data IV.Mzdy a další př'!$H$12</f>
        <v>567983.9259</v>
      </c>
      <c r="AT51" s="378">
        <f>12*'Pomocná data IV.Mzdy a další př'!$H$12</f>
        <v>567983.9259</v>
      </c>
      <c r="AU51" s="378">
        <f>12*'Pomocná data IV.Mzdy a další př'!$H$13</f>
        <v>614181.7659</v>
      </c>
      <c r="AV51" s="378">
        <f>12*'Pomocná data IV.Mzdy a další př'!$H$13</f>
        <v>614181.7659</v>
      </c>
      <c r="AW51" s="378">
        <f>12*'Pomocná data IV.Mzdy a další př'!$H$13</f>
        <v>614181.7659</v>
      </c>
      <c r="AX51" s="378">
        <f>12*'Pomocná data IV.Mzdy a další př'!$J$13</f>
        <v>95264.0859</v>
      </c>
      <c r="AY51" s="378">
        <f>12*'Pomocná data IV.Mzdy a další př'!$J$13</f>
        <v>95264.0859</v>
      </c>
      <c r="AZ51" s="378">
        <f>12*'Pomocná data IV.Mzdy a další př'!$J$13</f>
        <v>95264.0859</v>
      </c>
      <c r="BA51" s="378">
        <f>12*'Pomocná data IV.Mzdy a další př'!$J$13</f>
        <v>95264.0859</v>
      </c>
      <c r="BB51" s="378">
        <f>12*'Pomocná data IV.Mzdy a další př'!$J$13</f>
        <v>95264.0859</v>
      </c>
      <c r="BC51" s="378">
        <f>12*'Pomocná data IV.Mzdy a další př'!$J$13</f>
        <v>95264.0859</v>
      </c>
      <c r="BD51" s="378">
        <f>12*'Pomocná data IV.Mzdy a další př'!$J$13</f>
        <v>95264.0859</v>
      </c>
      <c r="BE51" s="378">
        <f>12*'Pomocná data IV.Mzdy a další př'!$J$13</f>
        <v>95264.0859</v>
      </c>
      <c r="BF51" s="378">
        <f>12*'Pomocná data IV.Mzdy a další př'!$J$13</f>
        <v>95264.0859</v>
      </c>
      <c r="BG51" s="378">
        <f>12*'Pomocná data IV.Mzdy a další př'!$J$13</f>
        <v>95264.0859</v>
      </c>
      <c r="BH51" s="378">
        <f>12*'Pomocná data IV.Mzdy a další př'!$J$13</f>
        <v>95264.0859</v>
      </c>
      <c r="BI51" s="378">
        <f>12*'Pomocná data IV.Mzdy a další př'!$J$13</f>
        <v>95264.0859</v>
      </c>
      <c r="BJ51" s="378">
        <f>12*'Pomocná data IV.Mzdy a další př'!$J$13</f>
        <v>95264.0859</v>
      </c>
      <c r="BK51" s="378">
        <f>12*'Pomocná data IV.Mzdy a další př'!$J$13</f>
        <v>95264.0859</v>
      </c>
      <c r="BL51" s="378">
        <f>12*'Pomocná data IV.Mzdy a další př'!$J$13</f>
        <v>95264.0859</v>
      </c>
      <c r="BM51" s="378">
        <f>12*'Pomocná data IV.Mzdy a další př'!$J$13</f>
        <v>95264.0859</v>
      </c>
      <c r="BN51" s="378">
        <f>12*'Pomocná data IV.Mzdy a další př'!$J$13</f>
        <v>95264.0859</v>
      </c>
      <c r="BO51" s="378">
        <f>12*'Pomocná data IV.Mzdy a další př'!$J$13</f>
        <v>95264.0859</v>
      </c>
      <c r="BP51" s="378">
        <f>12*'Pomocná data IV.Mzdy a další př'!$J$13</f>
        <v>95264.0859</v>
      </c>
      <c r="BQ51" s="378">
        <f>12*'Pomocná data IV.Mzdy a další př'!$J$13</f>
        <v>95264.0859</v>
      </c>
    </row>
    <row r="52" ht="15.75" customHeight="1"/>
    <row r="53" ht="15.75" customHeight="1">
      <c r="A53" s="13"/>
    </row>
    <row r="54" ht="15.75" customHeight="1">
      <c r="A54" s="13" t="s">
        <v>467</v>
      </c>
    </row>
    <row r="55" ht="15.75" customHeight="1">
      <c r="A55" s="13"/>
    </row>
    <row r="56" ht="15.75" customHeight="1">
      <c r="A56" s="218" t="s">
        <v>401</v>
      </c>
      <c r="B56" s="219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/>
      <c r="BO56" s="221"/>
      <c r="BP56" s="221"/>
      <c r="BQ56" s="221"/>
    </row>
    <row r="57" ht="15.75" customHeight="1">
      <c r="A57" s="380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W57" s="198"/>
    </row>
    <row r="58" ht="15.75" customHeight="1">
      <c r="A58" s="380" t="s">
        <v>284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W58" s="198"/>
    </row>
    <row r="59" ht="15.75" customHeight="1">
      <c r="A59" s="262" t="s">
        <v>468</v>
      </c>
      <c r="B59" s="262" t="s">
        <v>288</v>
      </c>
      <c r="C59" s="262" t="s">
        <v>405</v>
      </c>
      <c r="D59" s="262" t="s">
        <v>469</v>
      </c>
      <c r="E59" s="262" t="s">
        <v>294</v>
      </c>
      <c r="F59" s="262" t="s">
        <v>296</v>
      </c>
      <c r="G59" s="262" t="s">
        <v>298</v>
      </c>
      <c r="H59" s="262" t="s">
        <v>300</v>
      </c>
      <c r="I59" s="262" t="s">
        <v>89</v>
      </c>
      <c r="J59" s="262" t="s">
        <v>303</v>
      </c>
      <c r="K59" s="262" t="s">
        <v>470</v>
      </c>
      <c r="L59" s="262" t="s">
        <v>307</v>
      </c>
      <c r="M59" s="262" t="s">
        <v>406</v>
      </c>
      <c r="N59" s="262" t="s">
        <v>311</v>
      </c>
      <c r="O59" s="262" t="s">
        <v>313</v>
      </c>
      <c r="P59" s="262" t="s">
        <v>315</v>
      </c>
      <c r="Q59" s="262" t="s">
        <v>407</v>
      </c>
      <c r="R59" s="262" t="s">
        <v>319</v>
      </c>
      <c r="S59" s="262" t="s">
        <v>321</v>
      </c>
      <c r="T59" s="262" t="s">
        <v>323</v>
      </c>
      <c r="U59" s="262" t="s">
        <v>408</v>
      </c>
      <c r="W59" s="198"/>
    </row>
    <row r="60" ht="15.75" customHeight="1">
      <c r="A60" s="381" t="s">
        <v>447</v>
      </c>
      <c r="B60" s="47">
        <f>'Pomocná data II.PÚ Ž'!B4*'Pomocná data V. PAF'!C33</f>
        <v>0</v>
      </c>
      <c r="C60" s="47">
        <f>'Pomocná data II.PÚ Ž'!C4*'Pomocná data V. PAF'!D33</f>
        <v>0</v>
      </c>
      <c r="D60" s="47">
        <f>'Pomocná data II.PÚ Ž'!D4*'Pomocná data V. PAF'!E33</f>
        <v>0</v>
      </c>
      <c r="E60" s="47">
        <f>'Pomocná data II.PÚ Ž'!E4*'Pomocná data V. PAF'!F33</f>
        <v>0</v>
      </c>
      <c r="F60" s="47">
        <f>'Pomocná data II.PÚ Ž'!F4*'Pomocná data V. PAF'!G33</f>
        <v>0</v>
      </c>
      <c r="G60" s="47">
        <f>'Pomocná data II.PÚ Ž'!G4*'Pomocná data V. PAF'!H33</f>
        <v>0</v>
      </c>
      <c r="H60" s="47">
        <f>'Pomocná data II.PÚ Ž'!H4*'Pomocná data V. PAF'!I33</f>
        <v>0</v>
      </c>
      <c r="I60" s="47">
        <f>'Pomocná data II.PÚ Ž'!I4*'Pomocná data V. PAF'!J33</f>
        <v>0</v>
      </c>
      <c r="J60" s="47">
        <f>'Pomocná data II.PÚ Ž'!J4*'Pomocná data V. PAF'!K33</f>
        <v>0</v>
      </c>
      <c r="K60" s="47">
        <f>'Pomocná data II.PÚ Ž'!K4*'Pomocná data V. PAF'!L33</f>
        <v>0</v>
      </c>
      <c r="L60" s="47">
        <f>'Pomocná data II.PÚ Ž'!L4*'Pomocná data V. PAF'!M33</f>
        <v>0</v>
      </c>
      <c r="M60" s="47">
        <f>'Pomocná data II.PÚ Ž'!M4*'Pomocná data V. PAF'!N33</f>
        <v>0</v>
      </c>
      <c r="N60" s="47">
        <f>'Pomocná data II.PÚ Ž'!N4*'Pomocná data V. PAF'!O33</f>
        <v>0</v>
      </c>
      <c r="O60" s="47">
        <f>'Pomocná data II.PÚ Ž'!O4*'Pomocná data V. PAF'!P33</f>
        <v>0</v>
      </c>
      <c r="P60" s="47">
        <f>'Pomocná data II.PÚ Ž'!P4*'Pomocná data V. PAF'!Q33</f>
        <v>0</v>
      </c>
      <c r="Q60" s="47">
        <f>'Pomocná data II.PÚ Ž'!Q4*'Pomocná data V. PAF'!R33</f>
        <v>0</v>
      </c>
      <c r="R60" s="47">
        <f>'Pomocná data II.PÚ Ž'!R4*'Pomocná data V. PAF'!S33</f>
        <v>0</v>
      </c>
      <c r="S60" s="47">
        <f>'Pomocná data II.PÚ Ž'!S4*'Pomocná data V. PAF'!T33</f>
        <v>0</v>
      </c>
      <c r="T60" s="47">
        <f>'Pomocná data II.PÚ Ž'!T4*'Pomocná data V. PAF'!U33</f>
        <v>0.06411962734</v>
      </c>
      <c r="U60" s="47">
        <f>'Pomocná data II.PÚ Ž'!U4*'Pomocná data V. PAF'!V33</f>
        <v>0</v>
      </c>
      <c r="V60" s="47">
        <f t="shared" ref="V60:V72" si="18">SUM(B60:U60)</f>
        <v>0.06411962734</v>
      </c>
    </row>
    <row r="61" ht="15.75" customHeight="1">
      <c r="A61" s="381" t="s">
        <v>448</v>
      </c>
      <c r="B61" s="47">
        <f>'Pomocná data II.PÚ Ž'!B5*'Pomocná data V. PAF'!C34</f>
        <v>0</v>
      </c>
      <c r="C61" s="47">
        <f>'Pomocná data II.PÚ Ž'!C5*'Pomocná data V. PAF'!D34</f>
        <v>0</v>
      </c>
      <c r="D61" s="47">
        <f>'Pomocná data II.PÚ Ž'!D5*'Pomocná data V. PAF'!E34</f>
        <v>0</v>
      </c>
      <c r="E61" s="47">
        <f>'Pomocná data II.PÚ Ž'!E5*'Pomocná data V. PAF'!F34</f>
        <v>0</v>
      </c>
      <c r="F61" s="47">
        <f>'Pomocná data II.PÚ Ž'!F5*'Pomocná data V. PAF'!G34</f>
        <v>0.05250471599</v>
      </c>
      <c r="G61" s="47">
        <f>'Pomocná data II.PÚ Ž'!G5*'Pomocná data V. PAF'!H34</f>
        <v>0</v>
      </c>
      <c r="H61" s="47">
        <f>'Pomocná data II.PÚ Ž'!H5*'Pomocná data V. PAF'!I34</f>
        <v>0.07965721665</v>
      </c>
      <c r="I61" s="47">
        <f>'Pomocná data II.PÚ Ž'!I5*'Pomocná data V. PAF'!J34</f>
        <v>0</v>
      </c>
      <c r="J61" s="47">
        <f>'Pomocná data II.PÚ Ž'!J5*'Pomocná data V. PAF'!K34</f>
        <v>0</v>
      </c>
      <c r="K61" s="47">
        <f>'Pomocná data II.PÚ Ž'!K5*'Pomocná data V. PAF'!L34</f>
        <v>0</v>
      </c>
      <c r="L61" s="47">
        <f>'Pomocná data II.PÚ Ž'!L5*'Pomocná data V. PAF'!M34</f>
        <v>0.3677822395</v>
      </c>
      <c r="M61" s="47">
        <f>'Pomocná data II.PÚ Ž'!M5*'Pomocná data V. PAF'!N34</f>
        <v>0</v>
      </c>
      <c r="N61" s="47">
        <f>'Pomocná data II.PÚ Ž'!N5*'Pomocná data V. PAF'!O34</f>
        <v>0</v>
      </c>
      <c r="O61" s="47">
        <f>'Pomocná data II.PÚ Ž'!O5*'Pomocná data V. PAF'!P34</f>
        <v>0</v>
      </c>
      <c r="P61" s="47">
        <f>'Pomocná data II.PÚ Ž'!P5*'Pomocná data V. PAF'!Q34</f>
        <v>0</v>
      </c>
      <c r="Q61" s="47">
        <f>'Pomocná data II.PÚ Ž'!Q5*'Pomocná data V. PAF'!R34</f>
        <v>0</v>
      </c>
      <c r="R61" s="47">
        <f>'Pomocná data II.PÚ Ž'!R5*'Pomocná data V. PAF'!S34</f>
        <v>0</v>
      </c>
      <c r="S61" s="47">
        <f>'Pomocná data II.PÚ Ž'!S5*'Pomocná data V. PAF'!T34</f>
        <v>0</v>
      </c>
      <c r="T61" s="47">
        <f>'Pomocná data II.PÚ Ž'!T5*'Pomocná data V. PAF'!U34</f>
        <v>0.1248394702</v>
      </c>
      <c r="U61" s="47">
        <f>'Pomocná data II.PÚ Ž'!U5*'Pomocná data V. PAF'!V34</f>
        <v>0</v>
      </c>
      <c r="V61" s="47">
        <f t="shared" si="18"/>
        <v>0.6247836424</v>
      </c>
    </row>
    <row r="62" ht="15.75" customHeight="1">
      <c r="A62" s="381" t="s">
        <v>449</v>
      </c>
      <c r="B62" s="47">
        <f>'Pomocná data II.PÚ Ž'!B6*'Pomocná data V. PAF'!C35</f>
        <v>0.183272946</v>
      </c>
      <c r="C62" s="47">
        <f>'Pomocná data II.PÚ Ž'!C6*'Pomocná data V. PAF'!D35</f>
        <v>0</v>
      </c>
      <c r="D62" s="47">
        <f>'Pomocná data II.PÚ Ž'!D6*'Pomocná data V. PAF'!E35</f>
        <v>0</v>
      </c>
      <c r="E62" s="47">
        <f>'Pomocná data II.PÚ Ž'!E6*'Pomocná data V. PAF'!F35</f>
        <v>0</v>
      </c>
      <c r="F62" s="47">
        <f>'Pomocná data II.PÚ Ž'!F6*'Pomocná data V. PAF'!G35</f>
        <v>0.07799905193</v>
      </c>
      <c r="G62" s="47">
        <f>'Pomocná data II.PÚ Ž'!G6*'Pomocná data V. PAF'!H35</f>
        <v>0</v>
      </c>
      <c r="H62" s="47">
        <f>'Pomocná data II.PÚ Ž'!H6*'Pomocná data V. PAF'!I35</f>
        <v>0</v>
      </c>
      <c r="I62" s="47">
        <f>'Pomocná data II.PÚ Ž'!I6*'Pomocná data V. PAF'!J35</f>
        <v>0</v>
      </c>
      <c r="J62" s="47">
        <f>'Pomocná data II.PÚ Ž'!J6*'Pomocná data V. PAF'!K35</f>
        <v>0</v>
      </c>
      <c r="K62" s="47">
        <f>'Pomocná data II.PÚ Ž'!K6*'Pomocná data V. PAF'!L35</f>
        <v>0</v>
      </c>
      <c r="L62" s="47">
        <f>'Pomocná data II.PÚ Ž'!L6*'Pomocná data V. PAF'!M35</f>
        <v>0.5193876474</v>
      </c>
      <c r="M62" s="47">
        <f>'Pomocná data II.PÚ Ž'!M6*'Pomocná data V. PAF'!N35</f>
        <v>0</v>
      </c>
      <c r="N62" s="47">
        <f>'Pomocná data II.PÚ Ž'!N6*'Pomocná data V. PAF'!O35</f>
        <v>0.3610256146</v>
      </c>
      <c r="O62" s="47">
        <f>'Pomocná data II.PÚ Ž'!O6*'Pomocná data V. PAF'!P35</f>
        <v>0.03218394851</v>
      </c>
      <c r="P62" s="47">
        <f>'Pomocná data II.PÚ Ž'!P6*'Pomocná data V. PAF'!Q35</f>
        <v>0</v>
      </c>
      <c r="Q62" s="47">
        <f>'Pomocná data II.PÚ Ž'!Q6*'Pomocná data V. PAF'!R35</f>
        <v>0</v>
      </c>
      <c r="R62" s="47">
        <f>'Pomocná data II.PÚ Ž'!R6*'Pomocná data V. PAF'!S35</f>
        <v>0.06847170076</v>
      </c>
      <c r="S62" s="47">
        <f>'Pomocná data II.PÚ Ž'!S6*'Pomocná data V. PAF'!T35</f>
        <v>0</v>
      </c>
      <c r="T62" s="47">
        <f>'Pomocná data II.PÚ Ž'!T6*'Pomocná data V. PAF'!U35</f>
        <v>0.183272946</v>
      </c>
      <c r="U62" s="47">
        <f>'Pomocná data II.PÚ Ž'!U6*'Pomocná data V. PAF'!V35</f>
        <v>0</v>
      </c>
      <c r="V62" s="47">
        <f t="shared" si="18"/>
        <v>1.425613855</v>
      </c>
    </row>
    <row r="63" ht="15.75" customHeight="1">
      <c r="A63" s="381" t="s">
        <v>450</v>
      </c>
      <c r="B63" s="47">
        <f>'Pomocná data II.PÚ Ž'!B7*'Pomocná data V. PAF'!C36</f>
        <v>0</v>
      </c>
      <c r="C63" s="47">
        <f>'Pomocná data II.PÚ Ž'!C7*'Pomocná data V. PAF'!D36</f>
        <v>0</v>
      </c>
      <c r="D63" s="47">
        <f>'Pomocná data II.PÚ Ž'!D7*'Pomocná data V. PAF'!E36</f>
        <v>0</v>
      </c>
      <c r="E63" s="47">
        <f>'Pomocná data II.PÚ Ž'!E7*'Pomocná data V. PAF'!F36</f>
        <v>0.6254128043</v>
      </c>
      <c r="F63" s="47">
        <f>'Pomocná data II.PÚ Ž'!F7*'Pomocná data V. PAF'!G36</f>
        <v>0</v>
      </c>
      <c r="G63" s="47">
        <f>'Pomocná data II.PÚ Ž'!G7*'Pomocná data V. PAF'!H36</f>
        <v>0</v>
      </c>
      <c r="H63" s="47">
        <f>'Pomocná data II.PÚ Ž'!H7*'Pomocná data V. PAF'!I36</f>
        <v>0.1736901553</v>
      </c>
      <c r="I63" s="47">
        <f>'Pomocná data II.PÚ Ž'!I7*'Pomocná data V. PAF'!J36</f>
        <v>0</v>
      </c>
      <c r="J63" s="47">
        <f>'Pomocná data II.PÚ Ž'!J7*'Pomocná data V. PAF'!K36</f>
        <v>0.4261112959</v>
      </c>
      <c r="K63" s="47">
        <f>'Pomocná data II.PÚ Ž'!K7*'Pomocná data V. PAF'!L36</f>
        <v>0</v>
      </c>
      <c r="L63" s="47">
        <f>'Pomocná data II.PÚ Ž'!L7*'Pomocná data V. PAF'!M36</f>
        <v>0</v>
      </c>
      <c r="M63" s="47">
        <f>'Pomocná data II.PÚ Ž'!M7*'Pomocná data V. PAF'!N36</f>
        <v>0</v>
      </c>
      <c r="N63" s="47">
        <f>'Pomocná data II.PÚ Ž'!N7*'Pomocná data V. PAF'!O36</f>
        <v>0</v>
      </c>
      <c r="O63" s="47">
        <f>'Pomocná data II.PÚ Ž'!O7*'Pomocná data V. PAF'!P36</f>
        <v>0.1283420345</v>
      </c>
      <c r="P63" s="47">
        <f>'Pomocná data II.PÚ Ž'!P7*'Pomocná data V. PAF'!Q36</f>
        <v>0</v>
      </c>
      <c r="Q63" s="47">
        <f>'Pomocná data II.PÚ Ž'!Q7*'Pomocná data V. PAF'!R36</f>
        <v>0.2293432746</v>
      </c>
      <c r="R63" s="47">
        <f>'Pomocná data II.PÚ Ž'!R7*'Pomocná data V. PAF'!S36</f>
        <v>0.1017768951</v>
      </c>
      <c r="S63" s="47">
        <f>'Pomocná data II.PÚ Ž'!S7*'Pomocná data V. PAF'!T36</f>
        <v>0.2797569672</v>
      </c>
      <c r="T63" s="47">
        <f>'Pomocná data II.PÚ Ž'!T7*'Pomocná data V. PAF'!U36</f>
        <v>0.2673263249</v>
      </c>
      <c r="U63" s="47">
        <f>'Pomocná data II.PÚ Ž'!U7*'Pomocná data V. PAF'!V36</f>
        <v>0.4535124852</v>
      </c>
      <c r="V63" s="47">
        <f t="shared" si="18"/>
        <v>2.685272237</v>
      </c>
    </row>
    <row r="64" ht="15.75" customHeight="1">
      <c r="A64" s="381" t="s">
        <v>451</v>
      </c>
      <c r="B64" s="47">
        <f>'Pomocná data II.PÚ Ž'!B8*'Pomocná data V. PAF'!C37</f>
        <v>0.4077594401</v>
      </c>
      <c r="C64" s="47">
        <f>'Pomocná data II.PÚ Ž'!C8*'Pomocná data V. PAF'!D37</f>
        <v>0</v>
      </c>
      <c r="D64" s="47">
        <f>'Pomocná data II.PÚ Ž'!D8*'Pomocná data V. PAF'!E37</f>
        <v>2.091189078</v>
      </c>
      <c r="E64" s="47">
        <f>'Pomocná data II.PÚ Ž'!E8*'Pomocná data V. PAF'!F37</f>
        <v>2.082543028</v>
      </c>
      <c r="F64" s="47">
        <f>'Pomocná data II.PÚ Ž'!F8*'Pomocná data V. PAF'!G37</f>
        <v>0.1818637275</v>
      </c>
      <c r="G64" s="47">
        <f>'Pomocná data II.PÚ Ž'!G8*'Pomocná data V. PAF'!H37</f>
        <v>0</v>
      </c>
      <c r="H64" s="47">
        <f>'Pomocná data II.PÚ Ž'!H8*'Pomocná data V. PAF'!I37</f>
        <v>0.2697902289</v>
      </c>
      <c r="I64" s="47">
        <f>'Pomocná data II.PÚ Ž'!I8*'Pomocná data V. PAF'!J37</f>
        <v>3</v>
      </c>
      <c r="J64" s="47">
        <f>'Pomocná data II.PÚ Ž'!J8*'Pomocná data V. PAF'!K37</f>
        <v>0</v>
      </c>
      <c r="K64" s="47">
        <f>'Pomocná data II.PÚ Ž'!K8*'Pomocná data V. PAF'!L37</f>
        <v>0</v>
      </c>
      <c r="L64" s="47">
        <f>'Pomocná data II.PÚ Ž'!L8*'Pomocná data V. PAF'!M37</f>
        <v>1.008210599</v>
      </c>
      <c r="M64" s="47">
        <f>'Pomocná data II.PÚ Ž'!M8*'Pomocná data V. PAF'!N37</f>
        <v>0</v>
      </c>
      <c r="N64" s="47">
        <f>'Pomocná data II.PÚ Ž'!N8*'Pomocná data V. PAF'!O37</f>
        <v>0.7456039277</v>
      </c>
      <c r="O64" s="47">
        <f>'Pomocná data II.PÚ Ž'!O8*'Pomocná data V. PAF'!P37</f>
        <v>0.4853913241</v>
      </c>
      <c r="P64" s="47">
        <f>'Pomocná data II.PÚ Ž'!P8*'Pomocná data V. PAF'!Q37</f>
        <v>0.3238180196</v>
      </c>
      <c r="Q64" s="47">
        <f>'Pomocná data II.PÚ Ž'!Q8*'Pomocná data V. PAF'!R37</f>
        <v>0.7047921631</v>
      </c>
      <c r="R64" s="47">
        <f>'Pomocná data II.PÚ Ž'!R8*'Pomocná data V. PAF'!S37</f>
        <v>0.1603458068</v>
      </c>
      <c r="S64" s="47">
        <f>'Pomocná data II.PÚ Ž'!S8*'Pomocná data V. PAF'!T37</f>
        <v>0.4257029261</v>
      </c>
      <c r="T64" s="47">
        <f>'Pomocná data II.PÚ Ž'!T8*'Pomocná data V. PAF'!U37</f>
        <v>0.8155188802</v>
      </c>
      <c r="U64" s="47">
        <f>'Pomocná data II.PÚ Ž'!U8*'Pomocná data V. PAF'!V37</f>
        <v>0</v>
      </c>
      <c r="V64" s="47">
        <f t="shared" si="18"/>
        <v>12.70252915</v>
      </c>
    </row>
    <row r="65" ht="15.75" customHeight="1">
      <c r="A65" s="381" t="s">
        <v>452</v>
      </c>
      <c r="B65" s="47">
        <f>'Pomocná data II.PÚ Ž'!B9*'Pomocná data V. PAF'!C38</f>
        <v>0</v>
      </c>
      <c r="C65" s="47">
        <f>'Pomocná data II.PÚ Ž'!C9*'Pomocná data V. PAF'!D38</f>
        <v>0</v>
      </c>
      <c r="D65" s="47">
        <f>'Pomocná data II.PÚ Ž'!D9*'Pomocná data V. PAF'!E38</f>
        <v>0</v>
      </c>
      <c r="E65" s="47">
        <f>'Pomocná data II.PÚ Ž'!E9*'Pomocná data V. PAF'!F38</f>
        <v>3.143640727</v>
      </c>
      <c r="F65" s="47">
        <f>'Pomocná data II.PÚ Ž'!F9*'Pomocná data V. PAF'!G38</f>
        <v>0.1959122632</v>
      </c>
      <c r="G65" s="47">
        <f>'Pomocná data II.PÚ Ž'!G9*'Pomocná data V. PAF'!H38</f>
        <v>0</v>
      </c>
      <c r="H65" s="47">
        <f>'Pomocná data II.PÚ Ž'!H9*'Pomocná data V. PAF'!I38</f>
        <v>0.5798641955</v>
      </c>
      <c r="I65" s="47">
        <f>'Pomocná data II.PÚ Ž'!I9*'Pomocná data V. PAF'!J38</f>
        <v>3</v>
      </c>
      <c r="J65" s="47">
        <f>'Pomocná data II.PÚ Ž'!J9*'Pomocná data V. PAF'!K38</f>
        <v>0.6711690731</v>
      </c>
      <c r="K65" s="47">
        <f>'Pomocná data II.PÚ Ž'!K9*'Pomocná data V. PAF'!L38</f>
        <v>0</v>
      </c>
      <c r="L65" s="47">
        <f>'Pomocná data II.PÚ Ž'!L9*'Pomocná data V. PAF'!M38</f>
        <v>1.770060615</v>
      </c>
      <c r="M65" s="47">
        <f>'Pomocná data II.PÚ Ž'!M9*'Pomocná data V. PAF'!N38</f>
        <v>0.9793897757</v>
      </c>
      <c r="N65" s="47">
        <f>'Pomocná data II.PÚ Ž'!N9*'Pomocná data V. PAF'!O38</f>
        <v>0.7909773698</v>
      </c>
      <c r="O65" s="47">
        <f>'Pomocná data II.PÚ Ž'!O9*'Pomocná data V. PAF'!P38</f>
        <v>1.324797822</v>
      </c>
      <c r="P65" s="47">
        <f>'Pomocná data II.PÚ Ž'!P9*'Pomocná data V. PAF'!Q38</f>
        <v>0.8107869142</v>
      </c>
      <c r="Q65" s="47">
        <f>'Pomocná data II.PÚ Ž'!Q9*'Pomocná data V. PAF'!R38</f>
        <v>1.00760423</v>
      </c>
      <c r="R65" s="47">
        <f>'Pomocná data II.PÚ Ž'!R9*'Pomocná data V. PAF'!S38</f>
        <v>0.4608908714</v>
      </c>
      <c r="S65" s="47">
        <f>'Pomocná data II.PÚ Ž'!S9*'Pomocná data V. PAF'!T38</f>
        <v>0.4555426762</v>
      </c>
      <c r="T65" s="47">
        <f>'Pomocná data II.PÚ Ž'!T9*'Pomocná data V. PAF'!U38</f>
        <v>1.309664189</v>
      </c>
      <c r="U65" s="47">
        <f>'Pomocná data II.PÚ Ž'!U9*'Pomocná data V. PAF'!V38</f>
        <v>0.7099819343</v>
      </c>
      <c r="V65" s="47">
        <f t="shared" si="18"/>
        <v>17.21028266</v>
      </c>
    </row>
    <row r="66" ht="15.75" customHeight="1">
      <c r="A66" s="381" t="s">
        <v>453</v>
      </c>
      <c r="B66" s="47">
        <f>'Pomocná data II.PÚ Ž'!B10*'Pomocná data V. PAF'!C39</f>
        <v>0</v>
      </c>
      <c r="C66" s="47">
        <f>'Pomocná data II.PÚ Ž'!C10*'Pomocná data V. PAF'!D39</f>
        <v>0</v>
      </c>
      <c r="D66" s="47">
        <f>'Pomocná data II.PÚ Ž'!D10*'Pomocná data V. PAF'!E39</f>
        <v>2.17528305</v>
      </c>
      <c r="E66" s="47">
        <f>'Pomocná data II.PÚ Ž'!E10*'Pomocná data V. PAF'!F39</f>
        <v>10.78450974</v>
      </c>
      <c r="F66" s="47">
        <f>'Pomocná data II.PÚ Ž'!F10*'Pomocná data V. PAF'!G39</f>
        <v>0.4821472911</v>
      </c>
      <c r="G66" s="47">
        <f>'Pomocná data II.PÚ Ž'!G10*'Pomocná data V. PAF'!H39</f>
        <v>0</v>
      </c>
      <c r="H66" s="47">
        <f>'Pomocná data II.PÚ Ž'!H10*'Pomocná data V. PAF'!I39</f>
        <v>0.3052399609</v>
      </c>
      <c r="I66" s="47">
        <f>'Pomocná data II.PÚ Ž'!I10*'Pomocná data V. PAF'!J39</f>
        <v>3</v>
      </c>
      <c r="J66" s="47">
        <f>'Pomocná data II.PÚ Ž'!J10*'Pomocná data V. PAF'!K39</f>
        <v>0.7013960188</v>
      </c>
      <c r="K66" s="47">
        <f>'Pomocná data II.PÚ Ž'!K10*'Pomocná data V. PAF'!L39</f>
        <v>0</v>
      </c>
      <c r="L66" s="47">
        <f>'Pomocná data II.PÚ Ž'!L10*'Pomocná data V. PAF'!M39</f>
        <v>2.570260416</v>
      </c>
      <c r="M66" s="47">
        <f>'Pomocná data II.PÚ Ž'!M10*'Pomocná data V. PAF'!N39</f>
        <v>1.017433369</v>
      </c>
      <c r="N66" s="47">
        <f>'Pomocná data II.PÚ Ž'!N10*'Pomocná data V. PAF'!O39</f>
        <v>0.8246892931</v>
      </c>
      <c r="O66" s="47">
        <f>'Pomocná data II.PÚ Ž'!O10*'Pomocná data V. PAF'!P39</f>
        <v>1.80884454</v>
      </c>
      <c r="P66" s="47">
        <f>'Pomocná data II.PÚ Ž'!P10*'Pomocná data V. PAF'!Q39</f>
        <v>1.339861245</v>
      </c>
      <c r="Q66" s="47">
        <f>'Pomocná data II.PÚ Ž'!Q10*'Pomocná data V. PAF'!R39</f>
        <v>1.853232342</v>
      </c>
      <c r="R66" s="47">
        <f>'Pomocná data II.PÚ Ž'!R10*'Pomocná data V. PAF'!S39</f>
        <v>0.7902935965</v>
      </c>
      <c r="S66" s="47">
        <f>'Pomocná data II.PÚ Ž'!S10*'Pomocná data V. PAF'!T39</f>
        <v>0.4780520474</v>
      </c>
      <c r="T66" s="47">
        <f>'Pomocná data II.PÚ Ž'!T10*'Pomocná data V. PAF'!U39</f>
        <v>0.7638247579</v>
      </c>
      <c r="U66" s="47">
        <f>'Pomocná data II.PÚ Ž'!U10*'Pomocná data V. PAF'!V39</f>
        <v>0.741400382</v>
      </c>
      <c r="V66" s="47">
        <f t="shared" si="18"/>
        <v>29.63646805</v>
      </c>
    </row>
    <row r="67" ht="15.75" customHeight="1">
      <c r="A67" s="381" t="s">
        <v>454</v>
      </c>
      <c r="B67" s="47">
        <f>'Pomocná data II.PÚ Ž'!B11*'Pomocná data V. PAF'!C40</f>
        <v>0.5162890046</v>
      </c>
      <c r="C67" s="47">
        <f>'Pomocná data II.PÚ Ž'!C11*'Pomocná data V. PAF'!D40</f>
        <v>0</v>
      </c>
      <c r="D67" s="47">
        <f>'Pomocná data II.PÚ Ž'!D11*'Pomocná data V. PAF'!E40</f>
        <v>6.020176872</v>
      </c>
      <c r="E67" s="47">
        <f>'Pomocná data II.PÚ Ž'!E11*'Pomocná data V. PAF'!F40</f>
        <v>18.65918636</v>
      </c>
      <c r="F67" s="47">
        <f>'Pomocná data II.PÚ Ž'!F11*'Pomocná data V. PAF'!G40</f>
        <v>0.7857879994</v>
      </c>
      <c r="G67" s="47">
        <f>'Pomocná data II.PÚ Ž'!G11*'Pomocná data V. PAF'!H40</f>
        <v>0</v>
      </c>
      <c r="H67" s="47">
        <f>'Pomocná data II.PÚ Ž'!H11*'Pomocná data V. PAF'!I40</f>
        <v>0.3465064546</v>
      </c>
      <c r="I67" s="47">
        <f>'Pomocná data II.PÚ Ž'!I11*'Pomocná data V. PAF'!J40</f>
        <v>3</v>
      </c>
      <c r="J67" s="47">
        <f>'Pomocná data II.PÚ Ž'!J11*'Pomocná data V. PAF'!K40</f>
        <v>0.7807039607</v>
      </c>
      <c r="K67" s="47">
        <f>'Pomocná data II.PÚ Ž'!K11*'Pomocná data V. PAF'!L40</f>
        <v>0</v>
      </c>
      <c r="L67" s="47">
        <f>'Pomocná data II.PÚ Ž'!L11*'Pomocná data V. PAF'!M40</f>
        <v>3.607274786</v>
      </c>
      <c r="M67" s="47">
        <f>'Pomocná data II.PÚ Ž'!M11*'Pomocná data V. PAF'!N40</f>
        <v>2.23027965</v>
      </c>
      <c r="N67" s="47">
        <f>'Pomocná data II.PÚ Ž'!N11*'Pomocná data V. PAF'!O40</f>
        <v>2.128943816</v>
      </c>
      <c r="O67" s="47">
        <f>'Pomocná data II.PÚ Ž'!O11*'Pomocná data V. PAF'!P40</f>
        <v>2.343944058</v>
      </c>
      <c r="P67" s="47">
        <f>'Pomocná data II.PÚ Ž'!P11*'Pomocná data V. PAF'!Q40</f>
        <v>2.894990947</v>
      </c>
      <c r="Q67" s="47">
        <f>'Pomocná data II.PÚ Ž'!Q11*'Pomocná data V. PAF'!R40</f>
        <v>2.692445722</v>
      </c>
      <c r="R67" s="47">
        <f>'Pomocná data II.PÚ Ž'!R11*'Pomocná data V. PAF'!S40</f>
        <v>2.291470473</v>
      </c>
      <c r="S67" s="47">
        <f>'Pomocná data II.PÚ Ž'!S11*'Pomocná data V. PAF'!T40</f>
        <v>1.076034238</v>
      </c>
      <c r="T67" s="47">
        <f>'Pomocná data II.PÚ Ž'!T11*'Pomocná data V. PAF'!U40</f>
        <v>3.614023032</v>
      </c>
      <c r="U67" s="47">
        <f>'Pomocná data II.PÚ Ž'!U11*'Pomocná data V. PAF'!V40</f>
        <v>0.8236109197</v>
      </c>
      <c r="V67" s="47">
        <f t="shared" si="18"/>
        <v>53.81166829</v>
      </c>
    </row>
    <row r="68" ht="15.75" customHeight="1">
      <c r="A68" s="381" t="s">
        <v>455</v>
      </c>
      <c r="B68" s="47">
        <f>'Pomocná data II.PÚ Ž'!B12*'Pomocná data V. PAF'!C41</f>
        <v>0.5811133329</v>
      </c>
      <c r="C68" s="47">
        <f>'Pomocná data II.PÚ Ž'!C12*'Pomocná data V. PAF'!D41</f>
        <v>0</v>
      </c>
      <c r="D68" s="47">
        <f>'Pomocná data II.PÚ Ž'!D12*'Pomocná data V. PAF'!E41</f>
        <v>10.12024952</v>
      </c>
      <c r="E68" s="47">
        <f>'Pomocná data II.PÚ Ž'!E12*'Pomocná data V. PAF'!F41</f>
        <v>32.59922274</v>
      </c>
      <c r="F68" s="47">
        <f>'Pomocná data II.PÚ Ž'!F12*'Pomocná data V. PAF'!G41</f>
        <v>1.256044276</v>
      </c>
      <c r="G68" s="47">
        <f>'Pomocná data II.PÚ Ž'!G12*'Pomocná data V. PAF'!H41</f>
        <v>0</v>
      </c>
      <c r="H68" s="47">
        <f>'Pomocná data II.PÚ Ž'!H12*'Pomocná data V. PAF'!I41</f>
        <v>1.180168908</v>
      </c>
      <c r="I68" s="47">
        <f>'Pomocná data II.PÚ Ž'!I12*'Pomocná data V. PAF'!J41</f>
        <v>3</v>
      </c>
      <c r="J68" s="47">
        <f>'Pomocná data II.PÚ Ž'!J12*'Pomocná data V. PAF'!K41</f>
        <v>0.8671368445</v>
      </c>
      <c r="K68" s="47">
        <f>'Pomocná data II.PÚ Ž'!K12*'Pomocná data V. PAF'!L41</f>
        <v>0</v>
      </c>
      <c r="L68" s="47">
        <f>'Pomocná data II.PÚ Ž'!L12*'Pomocná data V. PAF'!M41</f>
        <v>3.9240869</v>
      </c>
      <c r="M68" s="47">
        <f>'Pomocná data II.PÚ Ž'!M12*'Pomocná data V. PAF'!N41</f>
        <v>3.654820164</v>
      </c>
      <c r="N68" s="47">
        <f>'Pomocná data II.PÚ Ž'!N12*'Pomocná data V. PAF'!O41</f>
        <v>6.040820665</v>
      </c>
      <c r="O68" s="47">
        <f>'Pomocná data II.PÚ Ž'!O12*'Pomocná data V. PAF'!P41</f>
        <v>3.541863774</v>
      </c>
      <c r="P68" s="47">
        <f>'Pomocná data II.PÚ Ž'!P12*'Pomocná data V. PAF'!Q41</f>
        <v>8.578663065</v>
      </c>
      <c r="Q68" s="47">
        <f>'Pomocná data II.PÚ Ž'!Q12*'Pomocná data V. PAF'!R41</f>
        <v>5.574961771</v>
      </c>
      <c r="R68" s="47">
        <f>'Pomocná data II.PÚ Ž'!R12*'Pomocná data V. PAF'!S41</f>
        <v>3.652084254</v>
      </c>
      <c r="S68" s="47">
        <f>'Pomocná data II.PÚ Ž'!S12*'Pomocná data V. PAF'!T41</f>
        <v>3.629430925</v>
      </c>
      <c r="T68" s="47">
        <f>'Pomocná data II.PÚ Ž'!T12*'Pomocná data V. PAF'!U41</f>
        <v>6.198542218</v>
      </c>
      <c r="U68" s="47">
        <f>'Pomocná data II.PÚ Ž'!U12*'Pomocná data V. PAF'!V41</f>
        <v>6.389881449</v>
      </c>
      <c r="V68" s="47">
        <f t="shared" si="18"/>
        <v>100.7890908</v>
      </c>
    </row>
    <row r="69" ht="15.75" customHeight="1">
      <c r="A69" s="381" t="s">
        <v>456</v>
      </c>
      <c r="B69" s="47">
        <f>'Pomocná data II.PÚ Ž'!B13*'Pomocná data V. PAF'!C42</f>
        <v>0.5811133329</v>
      </c>
      <c r="C69" s="47">
        <f>'Pomocná data II.PÚ Ž'!C13*'Pomocná data V. PAF'!D42</f>
        <v>0</v>
      </c>
      <c r="D69" s="47">
        <f>'Pomocná data II.PÚ Ž'!D13*'Pomocná data V. PAF'!E42</f>
        <v>39.70251734</v>
      </c>
      <c r="E69" s="47">
        <f>'Pomocná data II.PÚ Ž'!E13*'Pomocná data V. PAF'!F42</f>
        <v>87.19310177</v>
      </c>
      <c r="F69" s="47">
        <f>'Pomocná data II.PÚ Ž'!F13*'Pomocná data V. PAF'!G42</f>
        <v>2.870958345</v>
      </c>
      <c r="G69" s="47">
        <f>'Pomocná data II.PÚ Ž'!G13*'Pomocná data V. PAF'!H42</f>
        <v>0</v>
      </c>
      <c r="H69" s="47">
        <f>'Pomocná data II.PÚ Ž'!H13*'Pomocná data V. PAF'!I42</f>
        <v>2.229207938</v>
      </c>
      <c r="I69" s="47">
        <f>'Pomocná data II.PÚ Ž'!I13*'Pomocná data V. PAF'!J42</f>
        <v>7</v>
      </c>
      <c r="J69" s="47">
        <f>'Pomocná data II.PÚ Ž'!J13*'Pomocná data V. PAF'!K42</f>
        <v>0.8671368445</v>
      </c>
      <c r="K69" s="47">
        <f>'Pomocná data II.PÚ Ž'!K13*'Pomocná data V. PAF'!L42</f>
        <v>0</v>
      </c>
      <c r="L69" s="47">
        <f>'Pomocná data II.PÚ Ž'!L13*'Pomocná data V. PAF'!M42</f>
        <v>4.796106211</v>
      </c>
      <c r="M69" s="47">
        <f>'Pomocná data II.PÚ Ž'!M13*'Pomocná data V. PAF'!N42</f>
        <v>9.746187105</v>
      </c>
      <c r="N69" s="47">
        <f>'Pomocná data II.PÚ Ž'!N13*'Pomocná data V. PAF'!O42</f>
        <v>8.72562985</v>
      </c>
      <c r="O69" s="47">
        <f>'Pomocná data II.PÚ Ž'!O13*'Pomocná data V. PAF'!P42</f>
        <v>6.737240875</v>
      </c>
      <c r="P69" s="47">
        <f>'Pomocná data II.PÚ Ž'!P13*'Pomocná data V. PAF'!Q42</f>
        <v>16.06549629</v>
      </c>
      <c r="Q69" s="47">
        <f>'Pomocná data II.PÚ Ž'!Q13*'Pomocná data V. PAF'!R42</f>
        <v>8.784788245</v>
      </c>
      <c r="R69" s="47">
        <f>'Pomocná data II.PÚ Ž'!R13*'Pomocná data V. PAF'!S42</f>
        <v>7.304168508</v>
      </c>
      <c r="S69" s="47">
        <f>'Pomocná data II.PÚ Ž'!S13*'Pomocná data V. PAF'!T42</f>
        <v>7.863767005</v>
      </c>
      <c r="T69" s="47">
        <f>'Pomocná data II.PÚ Ž'!T13*'Pomocná data V. PAF'!U42</f>
        <v>13.94671999</v>
      </c>
      <c r="U69" s="47">
        <f>'Pomocná data II.PÚ Ž'!U13*'Pomocná data V. PAF'!V42</f>
        <v>13.69260311</v>
      </c>
      <c r="V69" s="47">
        <f t="shared" si="18"/>
        <v>238.1067428</v>
      </c>
    </row>
    <row r="70" ht="15.75" customHeight="1">
      <c r="A70" s="382" t="s">
        <v>457</v>
      </c>
      <c r="B70" s="340">
        <f>'Pomocná data II.PÚ Ž'!B14*'Pomocná data V. PAF'!C43</f>
        <v>1.210282538</v>
      </c>
      <c r="C70" s="340">
        <f>'Pomocná data II.PÚ Ž'!C14*'Pomocná data V. PAF'!D43</f>
        <v>0</v>
      </c>
      <c r="D70" s="340">
        <f>'Pomocná data II.PÚ Ž'!D14*'Pomocná data V. PAF'!E43</f>
        <v>88.16721046</v>
      </c>
      <c r="E70" s="340">
        <f>'Pomocná data II.PÚ Ž'!E14*'Pomocná data V. PAF'!F43</f>
        <v>175.3798311</v>
      </c>
      <c r="F70" s="340">
        <f>'Pomocná data II.PÚ Ž'!F14*'Pomocná data V. PAF'!G43</f>
        <v>3.396404362</v>
      </c>
      <c r="G70" s="340">
        <f>'Pomocná data II.PÚ Ž'!G14*'Pomocná data V. PAF'!H43</f>
        <v>0</v>
      </c>
      <c r="H70" s="340">
        <f>'Pomocná data II.PÚ Ž'!H14*'Pomocná data V. PAF'!I43</f>
        <v>3.250150267</v>
      </c>
      <c r="I70" s="340">
        <f>'Pomocná data II.PÚ Ž'!I14*'Pomocná data V. PAF'!J43</f>
        <v>8</v>
      </c>
      <c r="J70" s="340">
        <f>'Pomocná data II.PÚ Ž'!J14*'Pomocná data V. PAF'!K43</f>
        <v>2.613166292</v>
      </c>
      <c r="K70" s="340">
        <f>'Pomocná data II.PÚ Ž'!K14*'Pomocná data V. PAF'!L43</f>
        <v>0</v>
      </c>
      <c r="L70" s="340">
        <f>'Pomocná data II.PÚ Ž'!L14*'Pomocná data V. PAF'!M43</f>
        <v>20.51000789</v>
      </c>
      <c r="M70" s="340">
        <f>'Pomocná data II.PÚ Ž'!M14*'Pomocná data V. PAF'!N43</f>
        <v>14.1749511</v>
      </c>
      <c r="N70" s="340">
        <f>'Pomocná data II.PÚ Ž'!N14*'Pomocná data V. PAF'!O43</f>
        <v>15.57152384</v>
      </c>
      <c r="O70" s="340">
        <f>'Pomocná data II.PÚ Ž'!O14*'Pomocná data V. PAF'!P43</f>
        <v>5.992733176</v>
      </c>
      <c r="P70" s="340">
        <f>'Pomocná data II.PÚ Ž'!P14*'Pomocná data V. PAF'!Q43</f>
        <v>22.71812543</v>
      </c>
      <c r="Q70" s="340">
        <f>'Pomocná data II.PÚ Ž'!Q14*'Pomocná data V. PAF'!R43</f>
        <v>15.6307525</v>
      </c>
      <c r="R70" s="340">
        <f>'Pomocná data II.PÚ Ž'!R14*'Pomocná data V. PAF'!S43</f>
        <v>7.678225926</v>
      </c>
      <c r="S70" s="340">
        <f>'Pomocná data II.PÚ Ž'!S14*'Pomocná data V. PAF'!T43</f>
        <v>10.990162</v>
      </c>
      <c r="T70" s="340">
        <f>'Pomocná data II.PÚ Ž'!T14*'Pomocná data V. PAF'!U43</f>
        <v>25.4159333</v>
      </c>
      <c r="U70" s="340">
        <f>'Pomocná data II.PÚ Ž'!U14*'Pomocná data V. PAF'!V43</f>
        <v>21.50118792</v>
      </c>
      <c r="V70" s="340">
        <f t="shared" si="18"/>
        <v>442.2006481</v>
      </c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3"/>
      <c r="AN70" s="383"/>
      <c r="AO70" s="383"/>
      <c r="AP70" s="383"/>
      <c r="AQ70" s="383"/>
      <c r="AR70" s="383"/>
      <c r="AS70" s="383"/>
      <c r="AT70" s="383"/>
      <c r="AU70" s="383"/>
      <c r="AV70" s="383"/>
      <c r="AW70" s="383"/>
      <c r="AX70" s="383"/>
      <c r="AY70" s="383"/>
      <c r="AZ70" s="383"/>
      <c r="BA70" s="383"/>
      <c r="BB70" s="383"/>
      <c r="BC70" s="383"/>
      <c r="BD70" s="383"/>
      <c r="BE70" s="383"/>
      <c r="BF70" s="383"/>
      <c r="BG70" s="383"/>
      <c r="BH70" s="383"/>
      <c r="BI70" s="383"/>
      <c r="BJ70" s="383"/>
      <c r="BK70" s="383"/>
      <c r="BL70" s="383"/>
      <c r="BM70" s="383"/>
      <c r="BN70" s="383"/>
      <c r="BO70" s="383"/>
      <c r="BP70" s="383"/>
      <c r="BQ70" s="383"/>
    </row>
    <row r="71" ht="15.75" customHeight="1">
      <c r="A71" s="382" t="s">
        <v>458</v>
      </c>
      <c r="B71" s="340">
        <f>'Pomocná data II.PÚ Ž'!B15*'Pomocná data V. PAF'!C44</f>
        <v>1.94722292</v>
      </c>
      <c r="C71" s="340">
        <f>'Pomocná data II.PÚ Ž'!C15*'Pomocná data V. PAF'!D44</f>
        <v>0</v>
      </c>
      <c r="D71" s="340">
        <f>'Pomocná data II.PÚ Ž'!D15*'Pomocná data V. PAF'!E44</f>
        <v>166.3066445</v>
      </c>
      <c r="E71" s="340">
        <f>'Pomocná data II.PÚ Ž'!E15*'Pomocná data V. PAF'!F44</f>
        <v>282.4291817</v>
      </c>
      <c r="F71" s="340">
        <f>'Pomocná data II.PÚ Ž'!F15*'Pomocná data V. PAF'!G44</f>
        <v>5.521245059</v>
      </c>
      <c r="G71" s="340">
        <f>'Pomocná data II.PÚ Ž'!G15*'Pomocná data V. PAF'!H44</f>
        <v>0</v>
      </c>
      <c r="H71" s="340">
        <f>'Pomocná data II.PÚ Ž'!H15*'Pomocná data V. PAF'!I44</f>
        <v>2.495104085</v>
      </c>
      <c r="I71" s="340">
        <f>'Pomocná data II.PÚ Ž'!I15*'Pomocná data V. PAF'!J44</f>
        <v>14</v>
      </c>
      <c r="J71" s="340">
        <f>'Pomocná data II.PÚ Ž'!J15*'Pomocná data V. PAF'!K44</f>
        <v>4.196866998</v>
      </c>
      <c r="K71" s="340">
        <f>'Pomocná data II.PÚ Ž'!K15*'Pomocná data V. PAF'!L44</f>
        <v>0</v>
      </c>
      <c r="L71" s="340">
        <f>'Pomocná data II.PÚ Ž'!L15*'Pomocná data V. PAF'!M44</f>
        <v>21.5027259</v>
      </c>
      <c r="M71" s="340">
        <f>'Pomocná data II.PÚ Ž'!M15*'Pomocná data V. PAF'!N44</f>
        <v>15.99207117</v>
      </c>
      <c r="N71" s="340">
        <f>'Pomocná data II.PÚ Ž'!N15*'Pomocná data V. PAF'!O44</f>
        <v>20.25818371</v>
      </c>
      <c r="O71" s="340">
        <f>'Pomocná data II.PÚ Ž'!O15*'Pomocná data V. PAF'!P44</f>
        <v>7.755880976</v>
      </c>
      <c r="P71" s="340">
        <f>'Pomocná data II.PÚ Ž'!P15*'Pomocná data V. PAF'!Q44</f>
        <v>28.14012185</v>
      </c>
      <c r="Q71" s="340">
        <f>'Pomocná data II.PÚ Ž'!Q15*'Pomocná data V. PAF'!R44</f>
        <v>20.70048973</v>
      </c>
      <c r="R71" s="340">
        <f>'Pomocná data II.PÚ Ž'!R15*'Pomocná data V. PAF'!S44</f>
        <v>7.671507823</v>
      </c>
      <c r="S71" s="340">
        <f>'Pomocná data II.PÚ Ž'!S15*'Pomocná data V. PAF'!T44</f>
        <v>10.3201141</v>
      </c>
      <c r="T71" s="340">
        <f>'Pomocná data II.PÚ Ž'!T15*'Pomocná data V. PAF'!U44</f>
        <v>39.10672698</v>
      </c>
      <c r="U71" s="340">
        <f>'Pomocná data II.PÚ Ž'!U15*'Pomocná data V. PAF'!V44</f>
        <v>43.53712511</v>
      </c>
      <c r="V71" s="340">
        <f t="shared" si="18"/>
        <v>691.8812127</v>
      </c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3"/>
      <c r="AK71" s="383"/>
      <c r="AL71" s="383"/>
      <c r="AM71" s="383"/>
      <c r="AN71" s="383"/>
      <c r="AO71" s="383"/>
      <c r="AP71" s="383"/>
      <c r="AQ71" s="383"/>
      <c r="AR71" s="383"/>
      <c r="AS71" s="383"/>
      <c r="AT71" s="383"/>
      <c r="AU71" s="383"/>
      <c r="AV71" s="383"/>
      <c r="AW71" s="383"/>
      <c r="AX71" s="383"/>
      <c r="AY71" s="383"/>
      <c r="AZ71" s="383"/>
      <c r="BA71" s="383"/>
      <c r="BB71" s="383"/>
      <c r="BC71" s="383"/>
      <c r="BD71" s="383"/>
      <c r="BE71" s="383"/>
      <c r="BF71" s="383"/>
      <c r="BG71" s="383"/>
      <c r="BH71" s="383"/>
      <c r="BI71" s="383"/>
      <c r="BJ71" s="383"/>
      <c r="BK71" s="383"/>
      <c r="BL71" s="383"/>
      <c r="BM71" s="383"/>
      <c r="BN71" s="383"/>
      <c r="BO71" s="383"/>
      <c r="BP71" s="383"/>
      <c r="BQ71" s="383"/>
    </row>
    <row r="72" ht="15.75" customHeight="1">
      <c r="A72" s="382" t="s">
        <v>459</v>
      </c>
      <c r="B72" s="340">
        <f>SUM('Pomocná data II.PÚ Ž'!B16:B20)*'Pomocná data V. PAF'!C45</f>
        <v>8.690512631</v>
      </c>
      <c r="C72" s="340">
        <f>SUM('Pomocná data II.PÚ Ž'!C16:C20)*'Pomocná data V. PAF'!D45</f>
        <v>0</v>
      </c>
      <c r="D72" s="340">
        <f>SUM('Pomocná data II.PÚ Ž'!D16:D20)*'Pomocná data V. PAF'!E45</f>
        <v>1094.873758</v>
      </c>
      <c r="E72" s="340">
        <f>SUM('Pomocná data II.PÚ Ž'!E16:E20)*'Pomocná data V. PAF'!F45</f>
        <v>3013.94878</v>
      </c>
      <c r="F72" s="340">
        <f>SUM('Pomocná data II.PÚ Ž'!F16:F20)*'Pomocná data V. PAF'!G45</f>
        <v>14.79424115</v>
      </c>
      <c r="G72" s="340">
        <f>SUM('Pomocná data II.PÚ Ž'!G16:G20)*'Pomocná data V. PAF'!H45</f>
        <v>0</v>
      </c>
      <c r="H72" s="340">
        <f>SUM('Pomocná data II.PÚ Ž'!H16:H20)*'Pomocná data V. PAF'!I45</f>
        <v>7.153028365</v>
      </c>
      <c r="I72" s="340">
        <f>SUM('Pomocná data II.PÚ Ž'!I16:I20)*'Pomocná data V. PAF'!J45</f>
        <v>15</v>
      </c>
      <c r="J72" s="340">
        <f>SUM('Pomocná data II.PÚ Ž'!J16:J20)*'Pomocná data V. PAF'!K45</f>
        <v>23.35254099</v>
      </c>
      <c r="K72" s="340">
        <f>SUM('Pomocná data II.PÚ Ž'!K16:K20)*'Pomocná data V. PAF'!L45</f>
        <v>0.5013326226</v>
      </c>
      <c r="L72" s="340">
        <f>SUM('Pomocná data II.PÚ Ž'!L16:L20)*'Pomocná data V. PAF'!M45</f>
        <v>120.0859969</v>
      </c>
      <c r="M72" s="340">
        <f>SUM('Pomocná data II.PÚ Ž'!M16:M20)*'Pomocná data V. PAF'!N45</f>
        <v>38.66552822</v>
      </c>
      <c r="N72" s="340">
        <f>SUM('Pomocná data II.PÚ Ž'!N16:N20)*'Pomocná data V. PAF'!O45</f>
        <v>58.20048259</v>
      </c>
      <c r="O72" s="340">
        <f>SUM('Pomocná data II.PÚ Ž'!O16:O20)*'Pomocná data V. PAF'!P45</f>
        <v>18.99204611</v>
      </c>
      <c r="P72" s="340">
        <f>SUM('Pomocná data II.PÚ Ž'!P16:P20)*'Pomocná data V. PAF'!Q45</f>
        <v>56.93922161</v>
      </c>
      <c r="Q72" s="340">
        <f>SUM('Pomocná data II.PÚ Ž'!Q16:Q20)*'Pomocná data V. PAF'!R45</f>
        <v>60.85196056</v>
      </c>
      <c r="R72" s="340">
        <f>SUM('Pomocná data II.PÚ Ž'!R16:R20)*'Pomocná data V. PAF'!S45</f>
        <v>11.33337112</v>
      </c>
      <c r="S72" s="340">
        <f>SUM('Pomocná data II.PÚ Ž'!S16:S20)*'Pomocná data V. PAF'!T45</f>
        <v>32.47994673</v>
      </c>
      <c r="T72" s="340">
        <f>SUM('Pomocná data II.PÚ Ž'!T16:T20)*'Pomocná data V. PAF'!U45</f>
        <v>347.3401661</v>
      </c>
      <c r="U72" s="340">
        <f>SUM('Pomocná data II.PÚ Ž'!U16:U20)*'Pomocná data V. PAF'!V45</f>
        <v>439.4096146</v>
      </c>
      <c r="V72" s="340">
        <f t="shared" si="18"/>
        <v>5362.612529</v>
      </c>
      <c r="W72" s="383"/>
      <c r="X72" s="383"/>
      <c r="Y72" s="383"/>
      <c r="Z72" s="383"/>
      <c r="AA72" s="383"/>
      <c r="AB72" s="383"/>
      <c r="AC72" s="383"/>
      <c r="AD72" s="383"/>
      <c r="AE72" s="383"/>
      <c r="AF72" s="383"/>
      <c r="AG72" s="383"/>
      <c r="AH72" s="383"/>
      <c r="AI72" s="383"/>
      <c r="AJ72" s="383"/>
      <c r="AK72" s="383"/>
      <c r="AL72" s="383"/>
      <c r="AM72" s="383"/>
      <c r="AN72" s="383"/>
      <c r="AO72" s="383"/>
      <c r="AP72" s="383"/>
      <c r="AQ72" s="383"/>
      <c r="AR72" s="383"/>
      <c r="AS72" s="383"/>
      <c r="AT72" s="383"/>
      <c r="AU72" s="383"/>
      <c r="AV72" s="383"/>
      <c r="AW72" s="383"/>
      <c r="AX72" s="383"/>
      <c r="AY72" s="383"/>
      <c r="AZ72" s="383"/>
      <c r="BA72" s="383"/>
      <c r="BB72" s="383"/>
      <c r="BC72" s="383"/>
      <c r="BD72" s="383"/>
      <c r="BE72" s="383"/>
      <c r="BF72" s="383"/>
      <c r="BG72" s="383"/>
      <c r="BH72" s="383"/>
      <c r="BI72" s="383"/>
      <c r="BJ72" s="383"/>
      <c r="BK72" s="383"/>
      <c r="BL72" s="383"/>
      <c r="BM72" s="383"/>
      <c r="BN72" s="383"/>
      <c r="BO72" s="383"/>
      <c r="BP72" s="383"/>
      <c r="BQ72" s="383"/>
    </row>
    <row r="73" ht="15.75" customHeight="1">
      <c r="A73" s="13" t="s">
        <v>471</v>
      </c>
      <c r="B73" s="384">
        <f t="shared" ref="B73:V73" si="19">SUM(B60:B69)</f>
        <v>2.269548056</v>
      </c>
      <c r="C73" s="384">
        <f t="shared" si="19"/>
        <v>0</v>
      </c>
      <c r="D73" s="384">
        <f t="shared" si="19"/>
        <v>60.10941586</v>
      </c>
      <c r="E73" s="384">
        <f t="shared" si="19"/>
        <v>155.0876172</v>
      </c>
      <c r="F73" s="384">
        <f t="shared" si="19"/>
        <v>5.903217671</v>
      </c>
      <c r="G73" s="384">
        <f t="shared" si="19"/>
        <v>0</v>
      </c>
      <c r="H73" s="384">
        <f t="shared" si="19"/>
        <v>5.164125058</v>
      </c>
      <c r="I73" s="384">
        <f t="shared" si="19"/>
        <v>22</v>
      </c>
      <c r="J73" s="384">
        <f t="shared" si="19"/>
        <v>4.313654038</v>
      </c>
      <c r="K73" s="384">
        <f t="shared" si="19"/>
        <v>0</v>
      </c>
      <c r="L73" s="384">
        <f t="shared" si="19"/>
        <v>18.56316941</v>
      </c>
      <c r="M73" s="384">
        <f t="shared" si="19"/>
        <v>17.62811006</v>
      </c>
      <c r="N73" s="384">
        <f t="shared" si="19"/>
        <v>19.61769054</v>
      </c>
      <c r="O73" s="384">
        <f t="shared" si="19"/>
        <v>16.40260838</v>
      </c>
      <c r="P73" s="384">
        <f t="shared" si="19"/>
        <v>30.01361648</v>
      </c>
      <c r="Q73" s="384">
        <f t="shared" si="19"/>
        <v>20.84716775</v>
      </c>
      <c r="R73" s="384">
        <f t="shared" si="19"/>
        <v>14.82950211</v>
      </c>
      <c r="S73" s="384">
        <f t="shared" si="19"/>
        <v>14.20828679</v>
      </c>
      <c r="T73" s="384">
        <f t="shared" si="19"/>
        <v>27.28785143</v>
      </c>
      <c r="U73" s="384">
        <f t="shared" si="19"/>
        <v>22.81099028</v>
      </c>
      <c r="V73" s="384">
        <f t="shared" si="19"/>
        <v>457.0565711</v>
      </c>
      <c r="W73" s="13"/>
    </row>
    <row r="74" ht="15.75" customHeight="1">
      <c r="A74" s="13" t="s">
        <v>472</v>
      </c>
      <c r="B74" s="47">
        <f t="shared" ref="B74:U74" si="20">SUM(B70:B72)</f>
        <v>11.84801809</v>
      </c>
      <c r="C74" s="47">
        <f t="shared" si="20"/>
        <v>0</v>
      </c>
      <c r="D74" s="47">
        <f t="shared" si="20"/>
        <v>1349.347613</v>
      </c>
      <c r="E74" s="47">
        <f t="shared" si="20"/>
        <v>3471.757793</v>
      </c>
      <c r="F74" s="47">
        <f t="shared" si="20"/>
        <v>23.71189057</v>
      </c>
      <c r="G74" s="47">
        <f t="shared" si="20"/>
        <v>0</v>
      </c>
      <c r="H74" s="47">
        <f t="shared" si="20"/>
        <v>12.89828272</v>
      </c>
      <c r="I74" s="47">
        <f t="shared" si="20"/>
        <v>37</v>
      </c>
      <c r="J74" s="47">
        <f t="shared" si="20"/>
        <v>30.16257428</v>
      </c>
      <c r="K74" s="47">
        <f t="shared" si="20"/>
        <v>0.5013326226</v>
      </c>
      <c r="L74" s="47">
        <f t="shared" si="20"/>
        <v>162.0987307</v>
      </c>
      <c r="M74" s="47">
        <f t="shared" si="20"/>
        <v>68.83255048</v>
      </c>
      <c r="N74" s="47">
        <f t="shared" si="20"/>
        <v>94.03019014</v>
      </c>
      <c r="O74" s="47">
        <f t="shared" si="20"/>
        <v>32.74066026</v>
      </c>
      <c r="P74" s="47">
        <f t="shared" si="20"/>
        <v>107.7974689</v>
      </c>
      <c r="Q74" s="47">
        <f t="shared" si="20"/>
        <v>97.18320279</v>
      </c>
      <c r="R74" s="47">
        <f t="shared" si="20"/>
        <v>26.68310487</v>
      </c>
      <c r="S74" s="47">
        <f t="shared" si="20"/>
        <v>53.79022283</v>
      </c>
      <c r="T74" s="47">
        <f t="shared" si="20"/>
        <v>411.8628264</v>
      </c>
      <c r="U74" s="47">
        <f t="shared" si="20"/>
        <v>504.4479276</v>
      </c>
      <c r="V74" s="384">
        <f>SUM(V61:V73)</f>
        <v>7410.743412</v>
      </c>
    </row>
    <row r="75" ht="15.75" customHeight="1"/>
    <row r="76" ht="15.75" customHeight="1">
      <c r="A76" s="14" t="s">
        <v>283</v>
      </c>
    </row>
    <row r="77" ht="15.75" customHeight="1">
      <c r="A77" s="262" t="s">
        <v>468</v>
      </c>
      <c r="B77" s="262" t="s">
        <v>288</v>
      </c>
      <c r="C77" s="262" t="s">
        <v>405</v>
      </c>
      <c r="D77" s="262" t="s">
        <v>469</v>
      </c>
      <c r="E77" s="262" t="s">
        <v>294</v>
      </c>
      <c r="F77" s="262" t="s">
        <v>296</v>
      </c>
      <c r="G77" s="262" t="s">
        <v>298</v>
      </c>
      <c r="H77" s="262" t="s">
        <v>300</v>
      </c>
      <c r="I77" s="262" t="s">
        <v>89</v>
      </c>
      <c r="J77" s="262" t="s">
        <v>303</v>
      </c>
      <c r="K77" s="262" t="s">
        <v>470</v>
      </c>
      <c r="L77" s="262" t="s">
        <v>307</v>
      </c>
      <c r="M77" s="262" t="s">
        <v>406</v>
      </c>
      <c r="N77" s="262" t="s">
        <v>311</v>
      </c>
      <c r="O77" s="262" t="s">
        <v>313</v>
      </c>
      <c r="P77" s="262" t="s">
        <v>315</v>
      </c>
      <c r="Q77" s="262" t="s">
        <v>407</v>
      </c>
      <c r="R77" s="262" t="s">
        <v>319</v>
      </c>
      <c r="S77" s="262" t="s">
        <v>321</v>
      </c>
      <c r="T77" s="262" t="s">
        <v>323</v>
      </c>
      <c r="U77" s="262" t="s">
        <v>408</v>
      </c>
      <c r="W77" s="198"/>
    </row>
    <row r="78" ht="15.75" customHeight="1">
      <c r="A78" s="381" t="s">
        <v>447</v>
      </c>
      <c r="B78" s="47">
        <f>'Pomocná data III.PÚ M'!B4*'Pomocná data V. PAF'!C12</f>
        <v>0</v>
      </c>
      <c r="C78" s="47">
        <f>'Pomocná data III.PÚ M'!C4*'Pomocná data V. PAF'!D12</f>
        <v>0</v>
      </c>
      <c r="D78" s="47">
        <f>'Pomocná data III.PÚ M'!D4*'Pomocná data V. PAF'!E12</f>
        <v>0</v>
      </c>
      <c r="E78" s="47">
        <f>'Pomocná data III.PÚ M'!E4*'Pomocná data V. PAF'!F12</f>
        <v>0</v>
      </c>
      <c r="F78" s="47">
        <f>'Pomocná data III.PÚ M'!F4*'Pomocná data V. PAF'!G12</f>
        <v>0</v>
      </c>
      <c r="G78" s="47">
        <f>'Pomocná data III.PÚ M'!G4*'Pomocná data V. PAF'!H12</f>
        <v>0</v>
      </c>
      <c r="H78" s="47">
        <f>'Pomocná data III.PÚ M'!H4*'Pomocná data V. PAF'!I12</f>
        <v>0</v>
      </c>
      <c r="I78" s="47">
        <f>'Pomocná data III.PÚ M'!I4*'Pomocná data V. PAF'!J12</f>
        <v>0</v>
      </c>
      <c r="J78" s="47">
        <f>'Pomocná data III.PÚ M'!J4*'Pomocná data V. PAF'!K12</f>
        <v>0</v>
      </c>
      <c r="K78" s="47">
        <f>'Pomocná data III.PÚ M'!K4*'Pomocná data V. PAF'!L12</f>
        <v>0</v>
      </c>
      <c r="L78" s="47">
        <f>'Pomocná data III.PÚ M'!L4*'Pomocná data V. PAF'!M12</f>
        <v>0</v>
      </c>
      <c r="M78" s="47"/>
      <c r="N78" s="47">
        <f>'Pomocná data III.PÚ M'!N4*'Pomocná data V. PAF'!O12</f>
        <v>0.1044706972</v>
      </c>
      <c r="O78" s="47">
        <f>'Pomocná data III.PÚ M'!O4*'Pomocná data V. PAF'!P12</f>
        <v>0</v>
      </c>
      <c r="P78" s="47">
        <f>'Pomocná data III.PÚ M'!P4*'Pomocná data V. PAF'!Q12</f>
        <v>0</v>
      </c>
      <c r="Q78" s="47">
        <f>'Pomocná data III.PÚ M'!Q4*'Pomocná data V. PAF'!R12</f>
        <v>0</v>
      </c>
      <c r="R78" s="47"/>
      <c r="S78" s="47">
        <f>'Pomocná data III.PÚ M'!S4*'Pomocná data V. PAF'!T12</f>
        <v>0</v>
      </c>
      <c r="T78" s="47">
        <f>'Pomocná data III.PÚ M'!T4*'Pomocná data V. PAF'!U12</f>
        <v>0.1007769918</v>
      </c>
      <c r="U78" s="47">
        <f>'Pomocná data III.PÚ M'!U4*'Pomocná data V. PAF'!V12</f>
        <v>0</v>
      </c>
      <c r="V78" s="47">
        <f t="shared" ref="V78:V90" si="21">SUM(B78:U78)</f>
        <v>0.205247689</v>
      </c>
    </row>
    <row r="79" ht="15.75" customHeight="1">
      <c r="A79" s="381" t="s">
        <v>448</v>
      </c>
      <c r="B79" s="47">
        <f>'Pomocná data III.PÚ M'!B5*'Pomocná data V. PAF'!C13</f>
        <v>0</v>
      </c>
      <c r="C79" s="47">
        <f>'Pomocná data III.PÚ M'!C5*'Pomocná data V. PAF'!D13</f>
        <v>0</v>
      </c>
      <c r="D79" s="47">
        <f>'Pomocná data III.PÚ M'!D5*'Pomocná data V. PAF'!E13</f>
        <v>0</v>
      </c>
      <c r="E79" s="47">
        <f>'Pomocná data III.PÚ M'!E5*'Pomocná data V. PAF'!F13</f>
        <v>0</v>
      </c>
      <c r="F79" s="47">
        <f>'Pomocná data III.PÚ M'!F5*'Pomocná data V. PAF'!G13</f>
        <v>0</v>
      </c>
      <c r="G79" s="47">
        <f>'Pomocná data III.PÚ M'!G5*'Pomocná data V. PAF'!H13</f>
        <v>0.05612979197</v>
      </c>
      <c r="H79" s="47">
        <f>'Pomocná data III.PÚ M'!H5*'Pomocná data V. PAF'!I13</f>
        <v>0.1081550029</v>
      </c>
      <c r="I79" s="47">
        <f>'Pomocná data III.PÚ M'!I5*'Pomocná data V. PAF'!J13</f>
        <v>0</v>
      </c>
      <c r="J79" s="47">
        <f>'Pomocná data III.PÚ M'!J5*'Pomocná data V. PAF'!K13</f>
        <v>0.09170813675</v>
      </c>
      <c r="K79" s="47">
        <f>'Pomocná data III.PÚ M'!K5*'Pomocná data V. PAF'!L13</f>
        <v>0</v>
      </c>
      <c r="L79" s="47">
        <f>'Pomocná data III.PÚ M'!L5*'Pomocná data V. PAF'!M13</f>
        <v>0</v>
      </c>
      <c r="M79" s="47"/>
      <c r="N79" s="47">
        <f>'Pomocná data III.PÚ M'!N5*'Pomocná data V. PAF'!O13</f>
        <v>0</v>
      </c>
      <c r="O79" s="47">
        <f>'Pomocná data III.PÚ M'!O5*'Pomocná data V. PAF'!P13</f>
        <v>0</v>
      </c>
      <c r="P79" s="47">
        <f>'Pomocná data III.PÚ M'!P5*'Pomocná data V. PAF'!Q13</f>
        <v>0</v>
      </c>
      <c r="Q79" s="47">
        <f>'Pomocná data III.PÚ M'!Q5*'Pomocná data V. PAF'!R13</f>
        <v>0.1953879713</v>
      </c>
      <c r="R79" s="47"/>
      <c r="S79" s="47">
        <f>'Pomocná data III.PÚ M'!S5*'Pomocná data V. PAF'!T13</f>
        <v>0</v>
      </c>
      <c r="T79" s="47">
        <f>'Pomocná data III.PÚ M'!T5*'Pomocná data V. PAF'!U13</f>
        <v>0.1642825635</v>
      </c>
      <c r="U79" s="47">
        <f>'Pomocná data III.PÚ M'!U5*'Pomocná data V. PAF'!V13</f>
        <v>0</v>
      </c>
      <c r="V79" s="47">
        <f t="shared" si="21"/>
        <v>0.6156634664</v>
      </c>
    </row>
    <row r="80" ht="15.75" customHeight="1">
      <c r="A80" s="381" t="s">
        <v>449</v>
      </c>
      <c r="B80" s="47">
        <f>'Pomocná data III.PÚ M'!B6*'Pomocná data V. PAF'!C14</f>
        <v>0</v>
      </c>
      <c r="C80" s="47">
        <f>'Pomocná data III.PÚ M'!C6*'Pomocná data V. PAF'!D14</f>
        <v>0</v>
      </c>
      <c r="D80" s="47">
        <f>'Pomocná data III.PÚ M'!D6*'Pomocná data V. PAF'!E14</f>
        <v>1.193920737</v>
      </c>
      <c r="E80" s="47">
        <f>'Pomocná data III.PÚ M'!E6*'Pomocná data V. PAF'!F14</f>
        <v>0.2297122594</v>
      </c>
      <c r="F80" s="47">
        <f>'Pomocná data III.PÚ M'!F6*'Pomocná data V. PAF'!G14</f>
        <v>0</v>
      </c>
      <c r="G80" s="47">
        <f>'Pomocná data III.PÚ M'!G6*'Pomocná data V. PAF'!H14</f>
        <v>0.08721839066</v>
      </c>
      <c r="H80" s="47">
        <f>'Pomocná data III.PÚ M'!H6*'Pomocná data V. PAF'!I14</f>
        <v>0.1664297487</v>
      </c>
      <c r="I80" s="47">
        <f>'Pomocná data III.PÚ M'!I6*'Pomocná data V. PAF'!J14</f>
        <v>0</v>
      </c>
      <c r="J80" s="47">
        <f>'Pomocná data III.PÚ M'!J6*'Pomocná data V. PAF'!K14</f>
        <v>0</v>
      </c>
      <c r="K80" s="47">
        <f>'Pomocná data III.PÚ M'!K6*'Pomocná data V. PAF'!L14</f>
        <v>0</v>
      </c>
      <c r="L80" s="47">
        <f>'Pomocná data III.PÚ M'!L6*'Pomocná data V. PAF'!M14</f>
        <v>0.6727378042</v>
      </c>
      <c r="M80" s="47"/>
      <c r="N80" s="47">
        <f>'Pomocná data III.PÚ M'!N6*'Pomocná data V. PAF'!O14</f>
        <v>0</v>
      </c>
      <c r="O80" s="47">
        <f>'Pomocná data III.PÚ M'!O6*'Pomocná data V. PAF'!P14</f>
        <v>0</v>
      </c>
      <c r="P80" s="47">
        <f>'Pomocná data III.PÚ M'!P6*'Pomocná data V. PAF'!Q14</f>
        <v>0</v>
      </c>
      <c r="Q80" s="47">
        <f>'Pomocná data III.PÚ M'!Q6*'Pomocná data V. PAF'!R14</f>
        <v>0.2958558992</v>
      </c>
      <c r="R80" s="47"/>
      <c r="S80" s="47">
        <f>'Pomocná data III.PÚ M'!S6*'Pomocná data V. PAF'!T14</f>
        <v>0</v>
      </c>
      <c r="T80" s="47">
        <f>'Pomocná data III.PÚ M'!T6*'Pomocná data V. PAF'!U14</f>
        <v>0.2501829392</v>
      </c>
      <c r="U80" s="47">
        <f>'Pomocná data III.PÚ M'!U6*'Pomocná data V. PAF'!V14</f>
        <v>0</v>
      </c>
      <c r="V80" s="47">
        <f t="shared" si="21"/>
        <v>2.896057779</v>
      </c>
    </row>
    <row r="81" ht="15.75" customHeight="1">
      <c r="A81" s="381" t="s">
        <v>450</v>
      </c>
      <c r="B81" s="47">
        <f>'Pomocná data III.PÚ M'!B7*'Pomocná data V. PAF'!C15</f>
        <v>0</v>
      </c>
      <c r="C81" s="47">
        <f>'Pomocná data III.PÚ M'!C7*'Pomocná data V. PAF'!D15</f>
        <v>0</v>
      </c>
      <c r="D81" s="47">
        <f>'Pomocná data III.PÚ M'!D7*'Pomocná data V. PAF'!E15</f>
        <v>1.452403675</v>
      </c>
      <c r="E81" s="47">
        <f>'Pomocná data III.PÚ M'!E7*'Pomocná data V. PAF'!F15</f>
        <v>0.5266077372</v>
      </c>
      <c r="F81" s="47">
        <f>'Pomocná data III.PÚ M'!F7*'Pomocná data V. PAF'!G15</f>
        <v>0</v>
      </c>
      <c r="G81" s="47">
        <f>'Pomocná data III.PÚ M'!G7*'Pomocná data V. PAF'!H15</f>
        <v>0.1223297618</v>
      </c>
      <c r="H81" s="47">
        <f>'Pomocná data III.PÚ M'!H7*'Pomocná data V. PAF'!I15</f>
        <v>0.2309012955</v>
      </c>
      <c r="I81" s="47">
        <f>'Pomocná data III.PÚ M'!I7*'Pomocná data V. PAF'!J15</f>
        <v>3</v>
      </c>
      <c r="J81" s="47">
        <f>'Pomocná data III.PÚ M'!J7*'Pomocná data V. PAF'!K15</f>
        <v>0</v>
      </c>
      <c r="K81" s="47">
        <f>'Pomocná data III.PÚ M'!K7*'Pomocná data V. PAF'!L15</f>
        <v>0</v>
      </c>
      <c r="L81" s="47">
        <f>'Pomocná data III.PÚ M'!L7*'Pomocná data V. PAF'!M15</f>
        <v>0</v>
      </c>
      <c r="M81" s="47"/>
      <c r="N81" s="47">
        <f>'Pomocná data III.PÚ M'!N7*'Pomocná data V. PAF'!O15</f>
        <v>0</v>
      </c>
      <c r="O81" s="47">
        <f>'Pomocná data III.PÚ M'!O7*'Pomocná data V. PAF'!P15</f>
        <v>0</v>
      </c>
      <c r="P81" s="47">
        <f>'Pomocná data III.PÚ M'!P7*'Pomocná data V. PAF'!Q15</f>
        <v>0</v>
      </c>
      <c r="Q81" s="47">
        <f>'Pomocná data III.PÚ M'!Q7*'Pomocná data V. PAF'!R15</f>
        <v>0.4033280679</v>
      </c>
      <c r="R81" s="47"/>
      <c r="S81" s="47">
        <f>'Pomocná data III.PÚ M'!S7*'Pomocná data V. PAF'!T15</f>
        <v>0</v>
      </c>
      <c r="T81" s="47">
        <f>'Pomocná data III.PÚ M'!T7*'Pomocná data V. PAF'!U15</f>
        <v>0.3431695102</v>
      </c>
      <c r="U81" s="47">
        <f>'Pomocná data III.PÚ M'!U7*'Pomocná data V. PAF'!V15</f>
        <v>0.3622663408</v>
      </c>
      <c r="V81" s="47">
        <f t="shared" si="21"/>
        <v>6.441006388</v>
      </c>
    </row>
    <row r="82" ht="15.75" customHeight="1">
      <c r="A82" s="381" t="s">
        <v>451</v>
      </c>
      <c r="B82" s="47">
        <f>'Pomocná data III.PÚ M'!B8*'Pomocná data V. PAF'!C16</f>
        <v>0.2678590944</v>
      </c>
      <c r="C82" s="47">
        <f>'Pomocná data III.PÚ M'!C8*'Pomocná data V. PAF'!D16</f>
        <v>0</v>
      </c>
      <c r="D82" s="47">
        <f>'Pomocná data III.PÚ M'!D8*'Pomocná data V. PAF'!E16</f>
        <v>1.700578676</v>
      </c>
      <c r="E82" s="47">
        <f>'Pomocná data III.PÚ M'!E8*'Pomocná data V. PAF'!F16</f>
        <v>3.80731171</v>
      </c>
      <c r="F82" s="47">
        <f>'Pomocná data III.PÚ M'!F8*'Pomocná data V. PAF'!G16</f>
        <v>0</v>
      </c>
      <c r="G82" s="47">
        <f>'Pomocná data III.PÚ M'!G8*'Pomocná data V. PAF'!H16</f>
        <v>0.279812703</v>
      </c>
      <c r="H82" s="47">
        <f>'Pomocná data III.PÚ M'!H8*'Pomocná data V. PAF'!I16</f>
        <v>0.520837066</v>
      </c>
      <c r="I82" s="47">
        <f>'Pomocná data III.PÚ M'!I8*'Pomocná data V. PAF'!J16</f>
        <v>3</v>
      </c>
      <c r="J82" s="47">
        <f>'Pomocná data III.PÚ M'!J8*'Pomocná data V. PAF'!K16</f>
        <v>0.2678590944</v>
      </c>
      <c r="K82" s="47">
        <f>'Pomocná data III.PÚ M'!K8*'Pomocná data V. PAF'!L16</f>
        <v>0</v>
      </c>
      <c r="L82" s="47">
        <f>'Pomocná data III.PÚ M'!L8*'Pomocná data V. PAF'!M16</f>
        <v>1.091942911</v>
      </c>
      <c r="M82" s="47"/>
      <c r="N82" s="47">
        <f>'Pomocná data III.PÚ M'!N8*'Pomocná data V. PAF'!O16</f>
        <v>0.472534879</v>
      </c>
      <c r="O82" s="47">
        <f>'Pomocná data III.PÚ M'!O8*'Pomocná data V. PAF'!P16</f>
        <v>0</v>
      </c>
      <c r="P82" s="47">
        <f>'Pomocná data III.PÚ M'!P8*'Pomocná data V. PAF'!Q16</f>
        <v>0.6818223967</v>
      </c>
      <c r="Q82" s="47">
        <f>'Pomocná data III.PÚ M'!Q8*'Pomocná data V. PAF'!R16</f>
        <v>1.246260069</v>
      </c>
      <c r="R82" s="47"/>
      <c r="S82" s="47">
        <f>'Pomocná data III.PÚ M'!S8*'Pomocná data V. PAF'!T16</f>
        <v>0.2903645363</v>
      </c>
      <c r="T82" s="47">
        <f>'Pomocná data III.PÚ M'!T8*'Pomocná data V. PAF'!U16</f>
        <v>1.526285462</v>
      </c>
      <c r="U82" s="47">
        <f>'Pomocná data III.PÚ M'!U8*'Pomocná data V. PAF'!V16</f>
        <v>0.4822076004</v>
      </c>
      <c r="V82" s="47">
        <f t="shared" si="21"/>
        <v>15.6356762</v>
      </c>
    </row>
    <row r="83" ht="15.75" customHeight="1">
      <c r="A83" s="381" t="s">
        <v>452</v>
      </c>
      <c r="B83" s="47">
        <f>'Pomocná data III.PÚ M'!B9*'Pomocná data V. PAF'!C17</f>
        <v>0</v>
      </c>
      <c r="C83" s="47">
        <f>'Pomocná data III.PÚ M'!C9*'Pomocná data V. PAF'!D17</f>
        <v>0</v>
      </c>
      <c r="D83" s="47">
        <f>'Pomocná data III.PÚ M'!D9*'Pomocná data V. PAF'!E17</f>
        <v>3.046391685</v>
      </c>
      <c r="E83" s="47">
        <f>'Pomocná data III.PÚ M'!E9*'Pomocná data V. PAF'!F17</f>
        <v>13.08798929</v>
      </c>
      <c r="F83" s="47">
        <f>'Pomocná data III.PÚ M'!F9*'Pomocná data V. PAF'!G17</f>
        <v>0</v>
      </c>
      <c r="G83" s="47">
        <f>'Pomocná data III.PÚ M'!G9*'Pomocná data V. PAF'!H17</f>
        <v>0.7257075251</v>
      </c>
      <c r="H83" s="47">
        <f>'Pomocná data III.PÚ M'!H9*'Pomocná data V. PAF'!I17</f>
        <v>1.338588556</v>
      </c>
      <c r="I83" s="47">
        <f>'Pomocná data III.PÚ M'!I9*'Pomocná data V. PAF'!J17</f>
        <v>0</v>
      </c>
      <c r="J83" s="47">
        <f>'Pomocná data III.PÚ M'!J9*'Pomocná data V. PAF'!K17</f>
        <v>0</v>
      </c>
      <c r="K83" s="47">
        <f>'Pomocná data III.PÚ M'!K9*'Pomocná data V. PAF'!L17</f>
        <v>0</v>
      </c>
      <c r="L83" s="47">
        <f>'Pomocná data III.PÚ M'!L9*'Pomocná data V. PAF'!M17</f>
        <v>2.43257063</v>
      </c>
      <c r="M83" s="47"/>
      <c r="N83" s="47">
        <f>'Pomocná data III.PÚ M'!N9*'Pomocná data V. PAF'!O17</f>
        <v>1.457459859</v>
      </c>
      <c r="O83" s="47">
        <f>'Pomocná data III.PÚ M'!O9*'Pomocná data V. PAF'!P17</f>
        <v>0</v>
      </c>
      <c r="P83" s="47">
        <f>'Pomocná data III.PÚ M'!P9*'Pomocná data V. PAF'!Q17</f>
        <v>3.114073087</v>
      </c>
      <c r="Q83" s="47">
        <f>'Pomocná data III.PÚ M'!Q9*'Pomocná data V. PAF'!R17</f>
        <v>2.256541035</v>
      </c>
      <c r="R83" s="47"/>
      <c r="S83" s="47">
        <f>'Pomocná data III.PÚ M'!S9*'Pomocná data V. PAF'!T17</f>
        <v>0.3396786923</v>
      </c>
      <c r="T83" s="47">
        <f>'Pomocná data III.PÚ M'!T9*'Pomocná data V. PAF'!U17</f>
        <v>2.473729709</v>
      </c>
      <c r="U83" s="47">
        <f>'Pomocná data III.PÚ M'!U9*'Pomocná data V. PAF'!V17</f>
        <v>0.9290017912</v>
      </c>
      <c r="V83" s="47">
        <f t="shared" si="21"/>
        <v>31.20173186</v>
      </c>
    </row>
    <row r="84" ht="15.75" customHeight="1">
      <c r="A84" s="381" t="s">
        <v>453</v>
      </c>
      <c r="B84" s="47">
        <f>'Pomocná data III.PÚ M'!B10*'Pomocná data V. PAF'!C18</f>
        <v>0</v>
      </c>
      <c r="C84" s="47">
        <f>'Pomocná data III.PÚ M'!C10*'Pomocná data V. PAF'!D18</f>
        <v>0</v>
      </c>
      <c r="D84" s="47">
        <f>'Pomocná data III.PÚ M'!D10*'Pomocná data V. PAF'!E18</f>
        <v>5.800436089</v>
      </c>
      <c r="E84" s="47">
        <f>'Pomocná data III.PÚ M'!E10*'Pomocná data V. PAF'!F18</f>
        <v>25.01140622</v>
      </c>
      <c r="F84" s="47">
        <f>'Pomocná data III.PÚ M'!F10*'Pomocná data V. PAF'!G18</f>
        <v>0</v>
      </c>
      <c r="G84" s="47">
        <f>'Pomocná data III.PÚ M'!G10*'Pomocná data V. PAF'!H18</f>
        <v>0.7588522494</v>
      </c>
      <c r="H84" s="47">
        <f>'Pomocná data III.PÚ M'!H10*'Pomocná data V. PAF'!I18</f>
        <v>1.387291949</v>
      </c>
      <c r="I84" s="47">
        <f>'Pomocná data III.PÚ M'!I10*'Pomocná data V. PAF'!J18</f>
        <v>3</v>
      </c>
      <c r="J84" s="47">
        <f>'Pomocná data III.PÚ M'!J10*'Pomocná data V. PAF'!K18</f>
        <v>0.3587092893</v>
      </c>
      <c r="K84" s="47">
        <f>'Pomocná data III.PÚ M'!K10*'Pomocná data V. PAF'!L18</f>
        <v>0</v>
      </c>
      <c r="L84" s="47">
        <f>'Pomocná data III.PÚ M'!L10*'Pomocná data V. PAF'!M18</f>
        <v>5.748536924</v>
      </c>
      <c r="M84" s="47"/>
      <c r="N84" s="47">
        <f>'Pomocná data III.PÚ M'!N10*'Pomocná data V. PAF'!O18</f>
        <v>3.291332954</v>
      </c>
      <c r="O84" s="47">
        <f>'Pomocná data III.PÚ M'!O10*'Pomocná data V. PAF'!P18</f>
        <v>0</v>
      </c>
      <c r="P84" s="47">
        <f>'Pomocná data III.PÚ M'!P10*'Pomocná data V. PAF'!Q18</f>
        <v>6.947581576</v>
      </c>
      <c r="Q84" s="47">
        <f>'Pomocná data III.PÚ M'!Q10*'Pomocná data V. PAF'!R18</f>
        <v>4.154289927</v>
      </c>
      <c r="R84" s="47"/>
      <c r="S84" s="47">
        <f>'Pomocná data III.PÚ M'!S10*'Pomocná data V. PAF'!T18</f>
        <v>0.6462742992</v>
      </c>
      <c r="T84" s="47">
        <f>'Pomocná data III.PÚ M'!T10*'Pomocná data V. PAF'!U18</f>
        <v>6.589611914</v>
      </c>
      <c r="U84" s="47">
        <f>'Pomocná data III.PÚ M'!U10*'Pomocná data V. PAF'!V18</f>
        <v>1.258041571</v>
      </c>
      <c r="V84" s="47">
        <f t="shared" si="21"/>
        <v>64.95236497</v>
      </c>
    </row>
    <row r="85" ht="15.75" customHeight="1">
      <c r="A85" s="381" t="s">
        <v>454</v>
      </c>
      <c r="B85" s="47">
        <f>'Pomocná data III.PÚ M'!B11*'Pomocná data V. PAF'!C19</f>
        <v>0.4055288181</v>
      </c>
      <c r="C85" s="47">
        <f>'Pomocná data III.PÚ M'!C11*'Pomocná data V. PAF'!D19</f>
        <v>0</v>
      </c>
      <c r="D85" s="47">
        <f>'Pomocná data III.PÚ M'!D11*'Pomocná data V. PAF'!E19</f>
        <v>8.788095863</v>
      </c>
      <c r="E85" s="47">
        <f>'Pomocná data III.PÚ M'!E11*'Pomocná data V. PAF'!F19</f>
        <v>58.08071521</v>
      </c>
      <c r="F85" s="47">
        <f>'Pomocná data III.PÚ M'!F11*'Pomocná data V. PAF'!G19</f>
        <v>0</v>
      </c>
      <c r="G85" s="47">
        <f>'Pomocná data III.PÚ M'!G11*'Pomocná data V. PAF'!H19</f>
        <v>0.8634914254</v>
      </c>
      <c r="H85" s="47">
        <f>'Pomocná data III.PÚ M'!H11*'Pomocná data V. PAF'!I19</f>
        <v>1.56392227</v>
      </c>
      <c r="I85" s="47">
        <f>'Pomocná data III.PÚ M'!I11*'Pomocná data V. PAF'!J19</f>
        <v>3</v>
      </c>
      <c r="J85" s="47">
        <f>'Pomocná data III.PÚ M'!J11*'Pomocná data V. PAF'!K19</f>
        <v>0.4055288181</v>
      </c>
      <c r="K85" s="47">
        <f>'Pomocná data III.PÚ M'!K11*'Pomocná data V. PAF'!L19</f>
        <v>0</v>
      </c>
      <c r="L85" s="47">
        <f>'Pomocná data III.PÚ M'!L11*'Pomocná data V. PAF'!M19</f>
        <v>6.202205623</v>
      </c>
      <c r="M85" s="47"/>
      <c r="N85" s="47">
        <f>'Pomocná data III.PÚ M'!N11*'Pomocná data V. PAF'!O19</f>
        <v>7.807267713</v>
      </c>
      <c r="O85" s="47">
        <f>'Pomocná data III.PÚ M'!O11*'Pomocná data V. PAF'!P19</f>
        <v>0</v>
      </c>
      <c r="P85" s="47">
        <f>'Pomocná data III.PÚ M'!P11*'Pomocná data V. PAF'!Q19</f>
        <v>14.68436908</v>
      </c>
      <c r="Q85" s="47">
        <f>'Pomocná data III.PÚ M'!Q11*'Pomocná data V. PAF'!R19</f>
        <v>6.160444502</v>
      </c>
      <c r="R85" s="47"/>
      <c r="S85" s="47">
        <f>'Pomocná data III.PÚ M'!S11*'Pomocná data V. PAF'!T19</f>
        <v>1.459159838</v>
      </c>
      <c r="T85" s="47">
        <f>'Pomocná data III.PÚ M'!T11*'Pomocná data V. PAF'!U19</f>
        <v>13.16283072</v>
      </c>
      <c r="U85" s="47">
        <f>'Pomocná data III.PÚ M'!U11*'Pomocná data V. PAF'!V19</f>
        <v>7.485314171</v>
      </c>
      <c r="V85" s="47">
        <f t="shared" si="21"/>
        <v>130.068874</v>
      </c>
    </row>
    <row r="86" ht="15.75" customHeight="1">
      <c r="A86" s="381" t="s">
        <v>455</v>
      </c>
      <c r="B86" s="47">
        <f>'Pomocná data III.PÚ M'!B12*'Pomocná data V. PAF'!C20</f>
        <v>0.4103439495</v>
      </c>
      <c r="C86" s="47">
        <f>'Pomocná data III.PÚ M'!C12*'Pomocná data V. PAF'!D20</f>
        <v>0</v>
      </c>
      <c r="D86" s="47">
        <f>'Pomocná data III.PÚ M'!D12*'Pomocná data V. PAF'!E20</f>
        <v>30.55465317</v>
      </c>
      <c r="E86" s="47">
        <f>'Pomocná data III.PÚ M'!E12*'Pomocná data V. PAF'!F20</f>
        <v>93.93936712</v>
      </c>
      <c r="F86" s="47">
        <f>'Pomocná data III.PÚ M'!F12*'Pomocná data V. PAF'!G20</f>
        <v>0</v>
      </c>
      <c r="G86" s="47">
        <f>'Pomocná data III.PÚ M'!G12*'Pomocná data V. PAF'!H20</f>
        <v>1.136629525</v>
      </c>
      <c r="H86" s="47">
        <f>'Pomocná data III.PÚ M'!H12*'Pomocná data V. PAF'!I20</f>
        <v>2.056640304</v>
      </c>
      <c r="I86" s="47">
        <f>'Pomocná data III.PÚ M'!I12*'Pomocná data V. PAF'!J20</f>
        <v>3</v>
      </c>
      <c r="J86" s="47">
        <f>'Pomocná data III.PÚ M'!J12*'Pomocná data V. PAF'!K20</f>
        <v>0</v>
      </c>
      <c r="K86" s="47">
        <f>'Pomocná data III.PÚ M'!K12*'Pomocná data V. PAF'!L20</f>
        <v>0</v>
      </c>
      <c r="L86" s="47">
        <f>'Pomocná data III.PÚ M'!L12*'Pomocná data V. PAF'!M20</f>
        <v>10.09054072</v>
      </c>
      <c r="M86" s="47"/>
      <c r="N86" s="47">
        <f>'Pomocná data III.PÚ M'!N12*'Pomocná data V. PAF'!O20</f>
        <v>11.37050462</v>
      </c>
      <c r="O86" s="47">
        <f>'Pomocná data III.PÚ M'!O12*'Pomocná data V. PAF'!P20</f>
        <v>0</v>
      </c>
      <c r="P86" s="47">
        <f>'Pomocná data III.PÚ M'!P12*'Pomocná data V. PAF'!Q20</f>
        <v>22.2319121</v>
      </c>
      <c r="Q86" s="47">
        <f>'Pomocná data III.PÚ M'!Q12*'Pomocná data V. PAF'!R20</f>
        <v>10.89061719</v>
      </c>
      <c r="R86" s="47"/>
      <c r="S86" s="47">
        <f>'Pomocná data III.PÚ M'!S12*'Pomocná data V. PAF'!T20</f>
        <v>2.066774918</v>
      </c>
      <c r="T86" s="47">
        <f>'Pomocná data III.PÚ M'!T12*'Pomocná data V. PAF'!U20</f>
        <v>20.29280893</v>
      </c>
      <c r="U86" s="47">
        <f>'Pomocná data III.PÚ M'!U12*'Pomocná data V. PAF'!V20</f>
        <v>10.87316157</v>
      </c>
      <c r="V86" s="47">
        <f t="shared" si="21"/>
        <v>218.9139541</v>
      </c>
    </row>
    <row r="87" ht="15.75" customHeight="1">
      <c r="A87" s="381" t="s">
        <v>456</v>
      </c>
      <c r="B87" s="47">
        <f>'Pomocná data III.PÚ M'!B13*'Pomocná data V. PAF'!C21</f>
        <v>0.4103439495</v>
      </c>
      <c r="C87" s="47">
        <f>'Pomocná data III.PÚ M'!C13*'Pomocná data V. PAF'!D21</f>
        <v>0</v>
      </c>
      <c r="D87" s="47">
        <f>'Pomocná data III.PÚ M'!D13*'Pomocná data V. PAF'!E21</f>
        <v>63.8252755</v>
      </c>
      <c r="E87" s="47">
        <f>'Pomocná data III.PÚ M'!E13*'Pomocná data V. PAF'!F21</f>
        <v>188.9271647</v>
      </c>
      <c r="F87" s="47">
        <f>'Pomocná data III.PÚ M'!F13*'Pomocná data V. PAF'!G21</f>
        <v>0</v>
      </c>
      <c r="G87" s="47">
        <f>'Pomocná data III.PÚ M'!G13*'Pomocná data V. PAF'!H21</f>
        <v>1.486361687</v>
      </c>
      <c r="H87" s="47">
        <f>'Pomocná data III.PÚ M'!H13*'Pomocná data V. PAF'!I21</f>
        <v>2.689452706</v>
      </c>
      <c r="I87" s="47">
        <f>'Pomocná data III.PÚ M'!I13*'Pomocná data V. PAF'!J21</f>
        <v>9</v>
      </c>
      <c r="J87" s="47">
        <f>'Pomocná data III.PÚ M'!J13*'Pomocná data V. PAF'!K21</f>
        <v>0.820687899</v>
      </c>
      <c r="K87" s="47">
        <f>'Pomocná data III.PÚ M'!K13*'Pomocná data V. PAF'!L21</f>
        <v>0</v>
      </c>
      <c r="L87" s="47">
        <f>'Pomocná data III.PÚ M'!L13*'Pomocná data V. PAF'!M21</f>
        <v>15.85656399</v>
      </c>
      <c r="M87" s="47"/>
      <c r="N87" s="47">
        <f>'Pomocná data III.PÚ M'!N13*'Pomocná data V. PAF'!O21</f>
        <v>16.70768026</v>
      </c>
      <c r="O87" s="47">
        <f>'Pomocná data III.PÚ M'!O13*'Pomocná data V. PAF'!P21</f>
        <v>0</v>
      </c>
      <c r="P87" s="47">
        <f>'Pomocná data III.PÚ M'!P13*'Pomocná data V. PAF'!Q21</f>
        <v>48.00804208</v>
      </c>
      <c r="Q87" s="47">
        <f>'Pomocná data III.PÚ M'!Q13*'Pomocná data V. PAF'!R21</f>
        <v>23.33703683</v>
      </c>
      <c r="R87" s="47"/>
      <c r="S87" s="47">
        <f>'Pomocná data III.PÚ M'!S13*'Pomocná data V. PAF'!T21</f>
        <v>4.724056956</v>
      </c>
      <c r="T87" s="47">
        <f>'Pomocná data III.PÚ M'!T13*'Pomocná data V. PAF'!U21</f>
        <v>41.48752048</v>
      </c>
      <c r="U87" s="47">
        <f>'Pomocná data III.PÚ M'!U13*'Pomocná data V. PAF'!V21</f>
        <v>21.0372039</v>
      </c>
      <c r="V87" s="47">
        <f t="shared" si="21"/>
        <v>438.3173909</v>
      </c>
    </row>
    <row r="88" ht="15.75" customHeight="1">
      <c r="A88" s="382" t="s">
        <v>457</v>
      </c>
      <c r="B88" s="385">
        <f>'Pomocná data III.PÚ M'!B14*'Pomocná data V. PAF'!C22</f>
        <v>0.8733686695</v>
      </c>
      <c r="C88" s="385">
        <f>'Pomocná data III.PÚ M'!C14*'Pomocná data V. PAF'!D22</f>
        <v>0</v>
      </c>
      <c r="D88" s="385">
        <f>'Pomocná data III.PÚ M'!D14*'Pomocná data V. PAF'!E22</f>
        <v>135.9164232</v>
      </c>
      <c r="E88" s="385">
        <f>'Pomocná data III.PÚ M'!E14*'Pomocná data V. PAF'!F22</f>
        <v>227.981082</v>
      </c>
      <c r="F88" s="385">
        <f>'Pomocná data III.PÚ M'!F14*'Pomocná data V. PAF'!G22</f>
        <v>0</v>
      </c>
      <c r="G88" s="385">
        <f>'Pomocná data III.PÚ M'!G14*'Pomocná data V. PAF'!H22</f>
        <v>2.828507588</v>
      </c>
      <c r="H88" s="385">
        <f>'Pomocná data III.PÚ M'!H14*'Pomocná data V. PAF'!I22</f>
        <v>5.203082027</v>
      </c>
      <c r="I88" s="385">
        <f>'Pomocná data III.PÚ M'!I14*'Pomocná data V. PAF'!J22</f>
        <v>7</v>
      </c>
      <c r="J88" s="385">
        <f>'Pomocná data III.PÚ M'!J14*'Pomocná data V. PAF'!K22</f>
        <v>1.528395172</v>
      </c>
      <c r="K88" s="385">
        <f>'Pomocná data III.PÚ M'!K14*'Pomocná data V. PAF'!L22</f>
        <v>0</v>
      </c>
      <c r="L88" s="385">
        <f>'Pomocná data III.PÚ M'!L14*'Pomocná data V. PAF'!M22</f>
        <v>22.10251552</v>
      </c>
      <c r="M88" s="385"/>
      <c r="N88" s="385">
        <f>'Pomocná data III.PÚ M'!N14*'Pomocná data V. PAF'!O22</f>
        <v>22.9210505</v>
      </c>
      <c r="O88" s="385">
        <f>'Pomocná data III.PÚ M'!O14*'Pomocná data V. PAF'!P22</f>
        <v>0</v>
      </c>
      <c r="P88" s="385">
        <f>'Pomocná data III.PÚ M'!P14*'Pomocná data V. PAF'!Q22</f>
        <v>56.72076189</v>
      </c>
      <c r="Q88" s="385">
        <f>'Pomocná data III.PÚ M'!Q14*'Pomocná data V. PAF'!R22</f>
        <v>43.46488294</v>
      </c>
      <c r="R88" s="385"/>
      <c r="S88" s="385">
        <f>'Pomocná data III.PÚ M'!S14*'Pomocná data V. PAF'!T22</f>
        <v>6.615106486</v>
      </c>
      <c r="T88" s="385">
        <f>'Pomocná data III.PÚ M'!T14*'Pomocná data V. PAF'!U22</f>
        <v>49.06750194</v>
      </c>
      <c r="U88" s="385">
        <f>'Pomocná data III.PÚ M'!U14*'Pomocná data V. PAF'!V22</f>
        <v>29.36001291</v>
      </c>
      <c r="V88" s="385">
        <f t="shared" si="21"/>
        <v>611.5826909</v>
      </c>
    </row>
    <row r="89" ht="15.75" customHeight="1">
      <c r="A89" s="382" t="s">
        <v>458</v>
      </c>
      <c r="B89" s="385">
        <f>'Pomocná data III.PÚ M'!B15*'Pomocná data V. PAF'!C23</f>
        <v>0.597774283</v>
      </c>
      <c r="C89" s="385">
        <f>'Pomocná data III.PÚ M'!C15*'Pomocná data V. PAF'!D23</f>
        <v>0</v>
      </c>
      <c r="D89" s="385">
        <f>'Pomocná data III.PÚ M'!D15*'Pomocná data V. PAF'!E23</f>
        <v>172.3310009</v>
      </c>
      <c r="E89" s="385">
        <f>'Pomocná data III.PÚ M'!E15*'Pomocná data V. PAF'!F23</f>
        <v>274.649838</v>
      </c>
      <c r="F89" s="385">
        <f>'Pomocná data III.PÚ M'!F15*'Pomocná data V. PAF'!G23</f>
        <v>0</v>
      </c>
      <c r="G89" s="385">
        <f>'Pomocná data III.PÚ M'!G15*'Pomocná data V. PAF'!H23</f>
        <v>2.759279162</v>
      </c>
      <c r="H89" s="385">
        <f>'Pomocná data III.PÚ M'!H15*'Pomocná data V. PAF'!I23</f>
        <v>5.104628549</v>
      </c>
      <c r="I89" s="385">
        <f>'Pomocná data III.PÚ M'!I15*'Pomocná data V. PAF'!J23</f>
        <v>5</v>
      </c>
      <c r="J89" s="385">
        <f>'Pomocná data III.PÚ M'!J15*'Pomocná data V. PAF'!K23</f>
        <v>1.992580943</v>
      </c>
      <c r="K89" s="385">
        <f>'Pomocná data III.PÚ M'!K15*'Pomocná data V. PAF'!L23</f>
        <v>1.3547821</v>
      </c>
      <c r="L89" s="385">
        <f>'Pomocná data III.PÚ M'!L15*'Pomocná data V. PAF'!M23</f>
        <v>25.90052089</v>
      </c>
      <c r="M89" s="385"/>
      <c r="N89" s="385">
        <f>'Pomocná data III.PÚ M'!N15*'Pomocná data V. PAF'!O23</f>
        <v>25.43980798</v>
      </c>
      <c r="O89" s="385">
        <f>'Pomocná data III.PÚ M'!O15*'Pomocná data V. PAF'!P23</f>
        <v>0</v>
      </c>
      <c r="P89" s="385">
        <f>'Pomocná data III.PÚ M'!P15*'Pomocná data V. PAF'!Q23</f>
        <v>56.8236884</v>
      </c>
      <c r="Q89" s="385">
        <f>'Pomocná data III.PÚ M'!Q15*'Pomocná data V. PAF'!R23</f>
        <v>44.59254299</v>
      </c>
      <c r="R89" s="385"/>
      <c r="S89" s="385">
        <f>'Pomocná data III.PÚ M'!S15*'Pomocná data V. PAF'!T23</f>
        <v>4.747463454</v>
      </c>
      <c r="T89" s="385">
        <f>'Pomocná data III.PÚ M'!T15*'Pomocná data V. PAF'!U23</f>
        <v>61.83476459</v>
      </c>
      <c r="U89" s="385">
        <f>'Pomocná data III.PÚ M'!U15*'Pomocná data V. PAF'!V23</f>
        <v>37.85857124</v>
      </c>
      <c r="V89" s="385">
        <f t="shared" si="21"/>
        <v>720.9872434</v>
      </c>
    </row>
    <row r="90" ht="15.75" customHeight="1">
      <c r="A90" s="382" t="s">
        <v>459</v>
      </c>
      <c r="B90" s="385">
        <f>SUM('Pomocná data III.PÚ M'!B16:B20)*'Pomocná data V. PAF'!C24</f>
        <v>2.237712309</v>
      </c>
      <c r="C90" s="385">
        <f>SUM('Pomocná data III.PÚ M'!C16:C20)*'Pomocná data V. PAF'!D24</f>
        <v>0.8031956181</v>
      </c>
      <c r="D90" s="385">
        <f>SUM('Pomocná data III.PÚ M'!D16:D20)*'Pomocná data V. PAF'!E24</f>
        <v>480.0114472</v>
      </c>
      <c r="E90" s="385">
        <f>SUM('Pomocná data III.PÚ M'!E16:E20)*'Pomocná data V. PAF'!F24</f>
        <v>852.8779159</v>
      </c>
      <c r="F90" s="385">
        <f>SUM('Pomocná data III.PÚ M'!F16:F20)*'Pomocná data V. PAF'!G24</f>
        <v>0</v>
      </c>
      <c r="G90" s="385">
        <f>SUM('Pomocná data III.PÚ M'!G16:G20)*'Pomocná data V. PAF'!H24</f>
        <v>4.191540303</v>
      </c>
      <c r="H90" s="385">
        <f>SUM('Pomocná data III.PÚ M'!H16:H20)*'Pomocná data V. PAF'!I24</f>
        <v>7.845442512</v>
      </c>
      <c r="I90" s="385">
        <f>SUM('Pomocná data III.PÚ M'!I16:I20)*'Pomocná data V. PAF'!J24</f>
        <v>0</v>
      </c>
      <c r="J90" s="385">
        <f>SUM('Pomocná data III.PÚ M'!J16:J20)*'Pomocná data V. PAF'!K24</f>
        <v>5.993872256</v>
      </c>
      <c r="K90" s="385">
        <f>SUM('Pomocná data III.PÚ M'!K16:K20)*'Pomocná data V. PAF'!L24</f>
        <v>0</v>
      </c>
      <c r="L90" s="385">
        <f>SUM('Pomocná data III.PÚ M'!L16:L20)*'Pomocná data V. PAF'!M24</f>
        <v>58.20391236</v>
      </c>
      <c r="M90" s="385">
        <f>SUM('Pomocná data III.PÚ M'!M16:M20)*'Pomocná data V. PAF'!N24</f>
        <v>0</v>
      </c>
      <c r="N90" s="385">
        <f>SUM('Pomocná data III.PÚ M'!N16:N20)*'Pomocná data V. PAF'!O24</f>
        <v>36.52026355</v>
      </c>
      <c r="O90" s="385">
        <f>SUM('Pomocná data III.PÚ M'!O16:O20)*'Pomocná data V. PAF'!P24</f>
        <v>0</v>
      </c>
      <c r="P90" s="385">
        <f>SUM('Pomocná data III.PÚ M'!P16:P20)*'Pomocná data V. PAF'!Q24</f>
        <v>67.59559885</v>
      </c>
      <c r="Q90" s="385">
        <f>SUM('Pomocná data III.PÚ M'!Q16:Q20)*'Pomocná data V. PAF'!R24</f>
        <v>85.33182314</v>
      </c>
      <c r="R90" s="385">
        <f>SUM('Pomocná data III.PÚ M'!R16:R20)*'Pomocná data V. PAF'!S24</f>
        <v>0</v>
      </c>
      <c r="S90" s="385">
        <f>SUM('Pomocná data III.PÚ M'!S16:S20)*'Pomocná data V. PAF'!T24</f>
        <v>11.01190933</v>
      </c>
      <c r="T90" s="385">
        <f>SUM('Pomocná data III.PÚ M'!T16:T20)*'Pomocná data V. PAF'!U24</f>
        <v>198.9967747</v>
      </c>
      <c r="U90" s="385">
        <f>SUM('Pomocná data III.PÚ M'!U16:U20)*'Pomocná data V. PAF'!V24</f>
        <v>122.4351276</v>
      </c>
      <c r="V90" s="385">
        <f t="shared" si="21"/>
        <v>1934.056536</v>
      </c>
    </row>
    <row r="91" ht="15.75" customHeight="1">
      <c r="A91" s="13" t="s">
        <v>471</v>
      </c>
      <c r="B91" s="384">
        <f t="shared" ref="B91:L91" si="22">SUM(B78:B87)</f>
        <v>1.494075811</v>
      </c>
      <c r="C91" s="384">
        <f t="shared" si="22"/>
        <v>0</v>
      </c>
      <c r="D91" s="384">
        <f t="shared" si="22"/>
        <v>116.3617554</v>
      </c>
      <c r="E91" s="384">
        <f t="shared" si="22"/>
        <v>383.6102742</v>
      </c>
      <c r="F91" s="384">
        <f t="shared" si="22"/>
        <v>0</v>
      </c>
      <c r="G91" s="384">
        <f t="shared" si="22"/>
        <v>5.516533059</v>
      </c>
      <c r="H91" s="384">
        <f t="shared" si="22"/>
        <v>10.0622189</v>
      </c>
      <c r="I91" s="384">
        <f t="shared" si="22"/>
        <v>24</v>
      </c>
      <c r="J91" s="384">
        <f t="shared" si="22"/>
        <v>1.944493237</v>
      </c>
      <c r="K91" s="384">
        <f t="shared" si="22"/>
        <v>0</v>
      </c>
      <c r="L91" s="384">
        <f t="shared" si="22"/>
        <v>42.0950986</v>
      </c>
      <c r="M91" s="13"/>
      <c r="N91" s="384">
        <f t="shared" ref="N91:Q91" si="23">SUM(N78:N87)</f>
        <v>41.21125098</v>
      </c>
      <c r="O91" s="384">
        <f t="shared" si="23"/>
        <v>0</v>
      </c>
      <c r="P91" s="384">
        <f t="shared" si="23"/>
        <v>95.66780032</v>
      </c>
      <c r="Q91" s="384">
        <f t="shared" si="23"/>
        <v>48.93976149</v>
      </c>
      <c r="R91" s="13"/>
      <c r="S91" s="384">
        <f t="shared" ref="S91:V91" si="24">SUM(S78:S87)</f>
        <v>9.526309239</v>
      </c>
      <c r="T91" s="384">
        <f t="shared" si="24"/>
        <v>86.39119921</v>
      </c>
      <c r="U91" s="384">
        <f t="shared" si="24"/>
        <v>42.42719695</v>
      </c>
      <c r="V91" s="384">
        <f t="shared" si="24"/>
        <v>909.2479674</v>
      </c>
      <c r="W91" s="13"/>
    </row>
    <row r="92" ht="15.75" customHeight="1">
      <c r="A92" s="13" t="s">
        <v>472</v>
      </c>
      <c r="B92" s="47">
        <f t="shared" ref="B92:V92" si="25">SUM(B88:B90)</f>
        <v>3.708855261</v>
      </c>
      <c r="C92" s="47">
        <f t="shared" si="25"/>
        <v>0.8031956181</v>
      </c>
      <c r="D92" s="47">
        <f t="shared" si="25"/>
        <v>788.2588713</v>
      </c>
      <c r="E92" s="47">
        <f t="shared" si="25"/>
        <v>1355.508836</v>
      </c>
      <c r="F92" s="47">
        <f t="shared" si="25"/>
        <v>0</v>
      </c>
      <c r="G92" s="47">
        <f t="shared" si="25"/>
        <v>9.779327053</v>
      </c>
      <c r="H92" s="47">
        <f t="shared" si="25"/>
        <v>18.15315309</v>
      </c>
      <c r="I92" s="47">
        <f t="shared" si="25"/>
        <v>12</v>
      </c>
      <c r="J92" s="47">
        <f t="shared" si="25"/>
        <v>9.514848371</v>
      </c>
      <c r="K92" s="47">
        <f t="shared" si="25"/>
        <v>1.3547821</v>
      </c>
      <c r="L92" s="47">
        <f t="shared" si="25"/>
        <v>106.2069488</v>
      </c>
      <c r="M92" s="47">
        <f t="shared" si="25"/>
        <v>0</v>
      </c>
      <c r="N92" s="47">
        <f t="shared" si="25"/>
        <v>84.88112203</v>
      </c>
      <c r="O92" s="47">
        <f t="shared" si="25"/>
        <v>0</v>
      </c>
      <c r="P92" s="47">
        <f t="shared" si="25"/>
        <v>181.1400491</v>
      </c>
      <c r="Q92" s="47">
        <f t="shared" si="25"/>
        <v>173.3892491</v>
      </c>
      <c r="R92" s="47">
        <f t="shared" si="25"/>
        <v>0</v>
      </c>
      <c r="S92" s="47">
        <f t="shared" si="25"/>
        <v>22.37447927</v>
      </c>
      <c r="T92" s="47">
        <f t="shared" si="25"/>
        <v>309.8990412</v>
      </c>
      <c r="U92" s="47">
        <f t="shared" si="25"/>
        <v>189.6537117</v>
      </c>
      <c r="V92" s="47">
        <f t="shared" si="25"/>
        <v>3266.62647</v>
      </c>
    </row>
    <row r="93" ht="15.75" customHeight="1"/>
    <row r="94" ht="15.75" customHeight="1">
      <c r="A94" s="218" t="s">
        <v>419</v>
      </c>
      <c r="B94" s="219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</row>
    <row r="95" ht="15.75" customHeight="1">
      <c r="A95" s="13"/>
      <c r="B95" s="198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</row>
    <row r="96" ht="15.75" customHeight="1">
      <c r="A96" s="386" t="s">
        <v>284</v>
      </c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</row>
    <row r="97" ht="15.75" customHeight="1">
      <c r="A97" s="236" t="s">
        <v>468</v>
      </c>
      <c r="B97" s="387" t="s">
        <v>288</v>
      </c>
      <c r="C97" s="387" t="s">
        <v>405</v>
      </c>
      <c r="D97" s="387" t="s">
        <v>469</v>
      </c>
      <c r="E97" s="387" t="s">
        <v>294</v>
      </c>
      <c r="F97" s="387" t="s">
        <v>296</v>
      </c>
      <c r="G97" s="387" t="s">
        <v>298</v>
      </c>
      <c r="H97" s="387" t="s">
        <v>300</v>
      </c>
      <c r="I97" s="387" t="s">
        <v>89</v>
      </c>
      <c r="J97" s="387" t="s">
        <v>303</v>
      </c>
      <c r="K97" s="387" t="s">
        <v>470</v>
      </c>
      <c r="L97" s="387" t="s">
        <v>307</v>
      </c>
      <c r="M97" s="387" t="s">
        <v>406</v>
      </c>
      <c r="N97" s="387" t="s">
        <v>311</v>
      </c>
      <c r="O97" s="387" t="s">
        <v>313</v>
      </c>
      <c r="P97" s="387" t="s">
        <v>315</v>
      </c>
      <c r="Q97" s="387" t="s">
        <v>407</v>
      </c>
      <c r="R97" s="387" t="s">
        <v>319</v>
      </c>
      <c r="S97" s="387" t="s">
        <v>321</v>
      </c>
      <c r="T97" s="387" t="s">
        <v>323</v>
      </c>
      <c r="U97" s="387" t="s">
        <v>408</v>
      </c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</row>
    <row r="98" ht="15.75" customHeight="1">
      <c r="A98" s="388" t="s">
        <v>447</v>
      </c>
      <c r="B98" s="146">
        <f>'Pomocná data II.PÚ Ž'!B4*'Pomocná data V. PAF'!C77</f>
        <v>0</v>
      </c>
      <c r="C98" s="146">
        <f>'Pomocná data II.PÚ Ž'!C4*'Pomocná data V. PAF'!D77</f>
        <v>0</v>
      </c>
      <c r="D98" s="146">
        <f>'Pomocná data II.PÚ Ž'!D4*'Pomocná data V. PAF'!E77</f>
        <v>0</v>
      </c>
      <c r="E98" s="146">
        <f>'Pomocná data II.PÚ Ž'!E4*'Pomocná data V. PAF'!F77</f>
        <v>0</v>
      </c>
      <c r="F98" s="146">
        <f>'Pomocná data II.PÚ Ž'!F4*'Pomocná data V. PAF'!G77</f>
        <v>0</v>
      </c>
      <c r="G98" s="146">
        <f>'Pomocná data II.PÚ Ž'!G4*'Pomocná data V. PAF'!H77</f>
        <v>0</v>
      </c>
      <c r="H98" s="146">
        <f>'Pomocná data II.PÚ Ž'!H4*'Pomocná data V. PAF'!I77</f>
        <v>0</v>
      </c>
      <c r="I98" s="146">
        <f>'Pomocná data II.PÚ Ž'!I4*'Pomocná data V. PAF'!J77</f>
        <v>0</v>
      </c>
      <c r="J98" s="146">
        <f>'Pomocná data II.PÚ Ž'!J4*'Pomocná data V. PAF'!K77</f>
        <v>0</v>
      </c>
      <c r="K98" s="146">
        <f>'Pomocná data II.PÚ Ž'!K4*'Pomocná data V. PAF'!L77</f>
        <v>0</v>
      </c>
      <c r="L98" s="146">
        <f>'Pomocná data II.PÚ Ž'!L4*'Pomocná data V. PAF'!M77</f>
        <v>0</v>
      </c>
      <c r="M98" s="146">
        <f>'Pomocná data II.PÚ Ž'!M4*'Pomocná data V. PAF'!N77</f>
        <v>0</v>
      </c>
      <c r="N98" s="146">
        <f>'Pomocná data II.PÚ Ž'!N4*'Pomocná data V. PAF'!O77</f>
        <v>0</v>
      </c>
      <c r="O98" s="146">
        <f>'Pomocná data II.PÚ Ž'!O4*'Pomocná data V. PAF'!P77</f>
        <v>0</v>
      </c>
      <c r="P98" s="146">
        <f>'Pomocná data II.PÚ Ž'!P4*'Pomocná data V. PAF'!Q77</f>
        <v>0</v>
      </c>
      <c r="Q98" s="146">
        <f>'Pomocná data II.PÚ Ž'!Q4*'Pomocná data V. PAF'!R77</f>
        <v>0</v>
      </c>
      <c r="R98" s="146">
        <f>'Pomocná data II.PÚ Ž'!R4*'Pomocná data V. PAF'!S77</f>
        <v>0</v>
      </c>
      <c r="S98" s="146">
        <f>'Pomocná data II.PÚ Ž'!S4*'Pomocná data V. PAF'!T77</f>
        <v>0</v>
      </c>
      <c r="T98" s="146">
        <f>'Pomocná data II.PÚ Ž'!T4*'Pomocná data V. PAF'!U77</f>
        <v>0.005868497744</v>
      </c>
      <c r="U98" s="146">
        <f>'Pomocná data II.PÚ Ž'!U4*'Pomocná data V. PAF'!V77</f>
        <v>0</v>
      </c>
      <c r="V98" s="146">
        <f t="shared" ref="V98:V112" si="26">SUM(B98:U98)</f>
        <v>0.005868497744</v>
      </c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</row>
    <row r="99" ht="15.75" customHeight="1">
      <c r="A99" s="388" t="s">
        <v>448</v>
      </c>
      <c r="B99" s="146">
        <f>'Pomocná data II.PÚ Ž'!B5*'Pomocná data V. PAF'!C78</f>
        <v>0</v>
      </c>
      <c r="C99" s="146">
        <f>'Pomocná data II.PÚ Ž'!C5*'Pomocná data V. PAF'!D78</f>
        <v>0</v>
      </c>
      <c r="D99" s="146">
        <f>'Pomocná data II.PÚ Ž'!D5*'Pomocná data V. PAF'!E78</f>
        <v>0</v>
      </c>
      <c r="E99" s="146">
        <f>'Pomocná data II.PÚ Ž'!E5*'Pomocná data V. PAF'!F78</f>
        <v>0</v>
      </c>
      <c r="F99" s="146">
        <f>'Pomocná data II.PÚ Ž'!F5*'Pomocná data V. PAF'!G78</f>
        <v>0.01330076725</v>
      </c>
      <c r="G99" s="146">
        <f>'Pomocná data II.PÚ Ž'!G5*'Pomocná data V. PAF'!H78</f>
        <v>0</v>
      </c>
      <c r="H99" s="146">
        <f>'Pomocná data II.PÚ Ž'!H5*'Pomocná data V. PAF'!I78</f>
        <v>0.04442233234</v>
      </c>
      <c r="I99" s="146">
        <f>'Pomocná data II.PÚ Ž'!I5*'Pomocná data V. PAF'!J78</f>
        <v>0</v>
      </c>
      <c r="J99" s="146">
        <f>'Pomocná data II.PÚ Ž'!J5*'Pomocná data V. PAF'!K78</f>
        <v>0</v>
      </c>
      <c r="K99" s="146">
        <f>'Pomocná data II.PÚ Ž'!K5*'Pomocná data V. PAF'!L78</f>
        <v>0</v>
      </c>
      <c r="L99" s="146">
        <f>'Pomocná data II.PÚ Ž'!L5*'Pomocná data V. PAF'!M78</f>
        <v>0.2467549948</v>
      </c>
      <c r="M99" s="146">
        <f>'Pomocná data II.PÚ Ž'!M5*'Pomocná data V. PAF'!N78</f>
        <v>0</v>
      </c>
      <c r="N99" s="146">
        <f>'Pomocná data II.PÚ Ž'!N5*'Pomocná data V. PAF'!O78</f>
        <v>0</v>
      </c>
      <c r="O99" s="146">
        <f>'Pomocná data II.PÚ Ž'!O5*'Pomocná data V. PAF'!P78</f>
        <v>0</v>
      </c>
      <c r="P99" s="146">
        <f>'Pomocná data II.PÚ Ž'!P5*'Pomocná data V. PAF'!Q78</f>
        <v>0</v>
      </c>
      <c r="Q99" s="146">
        <f>'Pomocná data II.PÚ Ž'!Q5*'Pomocná data V. PAF'!R78</f>
        <v>0</v>
      </c>
      <c r="R99" s="146">
        <f>'Pomocná data II.PÚ Ž'!R5*'Pomocná data V. PAF'!S78</f>
        <v>0</v>
      </c>
      <c r="S99" s="146">
        <f>'Pomocná data II.PÚ Ž'!S5*'Pomocná data V. PAF'!T78</f>
        <v>0</v>
      </c>
      <c r="T99" s="146">
        <f>'Pomocná data II.PÚ Ž'!T5*'Pomocná data V. PAF'!U78</f>
        <v>0.01164462478</v>
      </c>
      <c r="U99" s="146">
        <f>'Pomocná data II.PÚ Ž'!U5*'Pomocná data V. PAF'!V78</f>
        <v>0</v>
      </c>
      <c r="V99" s="146">
        <f t="shared" si="26"/>
        <v>0.3161227192</v>
      </c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</row>
    <row r="100" ht="15.75" customHeight="1">
      <c r="A100" s="388" t="s">
        <v>449</v>
      </c>
      <c r="B100" s="146">
        <f>'Pomocná data II.PÚ Ž'!B6*'Pomocná data V. PAF'!C79</f>
        <v>0.08746467668</v>
      </c>
      <c r="C100" s="146">
        <f>'Pomocná data II.PÚ Ž'!C6*'Pomocná data V. PAF'!D79</f>
        <v>0</v>
      </c>
      <c r="D100" s="146">
        <f>'Pomocná data II.PÚ Ž'!D6*'Pomocná data V. PAF'!E79</f>
        <v>0</v>
      </c>
      <c r="E100" s="146">
        <f>'Pomocná data II.PÚ Ž'!E6*'Pomocná data V. PAF'!F79</f>
        <v>0</v>
      </c>
      <c r="F100" s="146">
        <f>'Pomocná data II.PÚ Ž'!F6*'Pomocná data V. PAF'!G79</f>
        <v>0.0198875658</v>
      </c>
      <c r="G100" s="146">
        <f>'Pomocná data II.PÚ Ž'!G6*'Pomocná data V. PAF'!H79</f>
        <v>0</v>
      </c>
      <c r="H100" s="146">
        <f>'Pomocná data II.PÚ Ž'!H6*'Pomocná data V. PAF'!I79</f>
        <v>0</v>
      </c>
      <c r="I100" s="146">
        <f>'Pomocná data II.PÚ Ž'!I6*'Pomocná data V. PAF'!J79</f>
        <v>0</v>
      </c>
      <c r="J100" s="146">
        <f>'Pomocná data II.PÚ Ž'!J6*'Pomocná data V. PAF'!K79</f>
        <v>0</v>
      </c>
      <c r="K100" s="146">
        <f>'Pomocná data II.PÚ Ž'!K6*'Pomocná data V. PAF'!L79</f>
        <v>0</v>
      </c>
      <c r="L100" s="146">
        <f>'Pomocná data II.PÚ Ž'!L6*'Pomocná data V. PAF'!M79</f>
        <v>0.3552034237</v>
      </c>
      <c r="M100" s="146">
        <f>'Pomocná data II.PÚ Ž'!M6*'Pomocná data V. PAF'!N79</f>
        <v>0</v>
      </c>
      <c r="N100" s="146">
        <f>'Pomocná data II.PÚ Ž'!N6*'Pomocná data V. PAF'!O79</f>
        <v>0.3117094692</v>
      </c>
      <c r="O100" s="146">
        <f>'Pomocná data II.PÚ Ž'!O6*'Pomocná data V. PAF'!P79</f>
        <v>0.01246070526</v>
      </c>
      <c r="P100" s="146">
        <f>'Pomocná data II.PÚ Ž'!P6*'Pomocná data V. PAF'!Q79</f>
        <v>0</v>
      </c>
      <c r="Q100" s="146">
        <f>'Pomocná data II.PÚ Ž'!Q6*'Pomocná data V. PAF'!R79</f>
        <v>0</v>
      </c>
      <c r="R100" s="146">
        <f>'Pomocná data II.PÚ Ž'!R6*'Pomocná data V. PAF'!S79</f>
        <v>0.04922938816</v>
      </c>
      <c r="S100" s="146">
        <f>'Pomocná data II.PÚ Ž'!S6*'Pomocná data V. PAF'!T79</f>
        <v>0</v>
      </c>
      <c r="T100" s="146">
        <f>'Pomocná data II.PÚ Ž'!T6*'Pomocná data V. PAF'!U79</f>
        <v>0.01741605186</v>
      </c>
      <c r="U100" s="146">
        <f>'Pomocná data II.PÚ Ž'!U6*'Pomocná data V. PAF'!V79</f>
        <v>0</v>
      </c>
      <c r="V100" s="146">
        <f t="shared" si="26"/>
        <v>0.8533712807</v>
      </c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</row>
    <row r="101" ht="15.75" customHeight="1">
      <c r="A101" s="388" t="s">
        <v>450</v>
      </c>
      <c r="B101" s="146">
        <f>'Pomocná data II.PÚ Ž'!B7*'Pomocná data V. PAF'!C80</f>
        <v>0</v>
      </c>
      <c r="C101" s="146">
        <f>'Pomocná data II.PÚ Ž'!C7*'Pomocná data V. PAF'!D80</f>
        <v>0</v>
      </c>
      <c r="D101" s="146">
        <f>'Pomocná data II.PÚ Ž'!D7*'Pomocná data V. PAF'!E80</f>
        <v>0</v>
      </c>
      <c r="E101" s="146">
        <f>'Pomocná data II.PÚ Ž'!E7*'Pomocná data V. PAF'!F80</f>
        <v>0.5550247961</v>
      </c>
      <c r="F101" s="146">
        <f>'Pomocná data II.PÚ Ž'!F7*'Pomocná data V. PAF'!G80</f>
        <v>0</v>
      </c>
      <c r="G101" s="146">
        <f>'Pomocná data II.PÚ Ž'!G7*'Pomocná data V. PAF'!H80</f>
        <v>0</v>
      </c>
      <c r="H101" s="146">
        <f>'Pomocná data II.PÚ Ž'!H7*'Pomocná data V. PAF'!I80</f>
        <v>0.09826106203</v>
      </c>
      <c r="I101" s="146">
        <f>'Pomocná data II.PÚ Ž'!I7*'Pomocná data V. PAF'!J80</f>
        <v>0</v>
      </c>
      <c r="J101" s="146">
        <f>'Pomocná data II.PÚ Ž'!J7*'Pomocná data V. PAF'!K80</f>
        <v>0.06262781381</v>
      </c>
      <c r="K101" s="146">
        <f>'Pomocná data II.PÚ Ž'!K7*'Pomocná data V. PAF'!L80</f>
        <v>0</v>
      </c>
      <c r="L101" s="146">
        <f>'Pomocná data II.PÚ Ž'!L7*'Pomocná data V. PAF'!M80</f>
        <v>0</v>
      </c>
      <c r="M101" s="146">
        <f>'Pomocná data II.PÚ Ž'!M7*'Pomocná data V. PAF'!N80</f>
        <v>0</v>
      </c>
      <c r="N101" s="146">
        <f>'Pomocná data II.PÚ Ž'!N7*'Pomocná data V. PAF'!O80</f>
        <v>0</v>
      </c>
      <c r="O101" s="146">
        <f>'Pomocná data II.PÚ Ž'!O7*'Pomocná data V. PAF'!P80</f>
        <v>0.04985450781</v>
      </c>
      <c r="P101" s="146">
        <f>'Pomocná data II.PÚ Ž'!P7*'Pomocná data V. PAF'!Q80</f>
        <v>0</v>
      </c>
      <c r="Q101" s="146">
        <f>'Pomocná data II.PÚ Ž'!Q7*'Pomocná data V. PAF'!R80</f>
        <v>0.1836731806</v>
      </c>
      <c r="R101" s="146">
        <f>'Pomocná data II.PÚ Ž'!R7*'Pomocná data V. PAF'!S80</f>
        <v>0.07340934174</v>
      </c>
      <c r="S101" s="146">
        <f>'Pomocná data II.PÚ Ž'!S7*'Pomocná data V. PAF'!T80</f>
        <v>0.1157554406</v>
      </c>
      <c r="T101" s="146">
        <f>'Pomocná data II.PÚ Ž'!T7*'Pomocná data V. PAF'!U80</f>
        <v>0.02610853519</v>
      </c>
      <c r="U101" s="146">
        <f>'Pomocná data II.PÚ Ž'!U7*'Pomocná data V. PAF'!V80</f>
        <v>0.2066948899</v>
      </c>
      <c r="V101" s="146">
        <f t="shared" si="26"/>
        <v>1.371409568</v>
      </c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</row>
    <row r="102" ht="15.75" customHeight="1">
      <c r="A102" s="388" t="s">
        <v>451</v>
      </c>
      <c r="B102" s="146">
        <f>'Pomocná data II.PÚ Ž'!B8*'Pomocná data V. PAF'!C81</f>
        <v>0.2030579899</v>
      </c>
      <c r="C102" s="146">
        <f>'Pomocná data II.PÚ Ž'!C8*'Pomocná data V. PAF'!D81</f>
        <v>0</v>
      </c>
      <c r="D102" s="146">
        <f>'Pomocná data II.PÚ Ž'!D8*'Pomocná data V. PAF'!E81</f>
        <v>1.854692262</v>
      </c>
      <c r="E102" s="146">
        <f>'Pomocná data II.PÚ Ž'!E8*'Pomocná data V. PAF'!F81</f>
        <v>1.871857486</v>
      </c>
      <c r="F102" s="146">
        <f>'Pomocná data II.PÚ Ž'!F8*'Pomocná data V. PAF'!G81</f>
        <v>0.04763154442</v>
      </c>
      <c r="G102" s="146">
        <f>'Pomocná data II.PÚ Ž'!G8*'Pomocná data V. PAF'!H81</f>
        <v>0</v>
      </c>
      <c r="H102" s="146">
        <f>'Pomocná data II.PÚ Ž'!H8*'Pomocná data V. PAF'!I81</f>
        <v>0.1549148845</v>
      </c>
      <c r="I102" s="146">
        <f>'Pomocná data II.PÚ Ž'!I8*'Pomocná data V. PAF'!J81</f>
        <v>3</v>
      </c>
      <c r="J102" s="146">
        <f>'Pomocná data II.PÚ Ž'!J8*'Pomocná data V. PAF'!K81</f>
        <v>0</v>
      </c>
      <c r="K102" s="146">
        <f>'Pomocná data II.PÚ Ž'!K8*'Pomocná data V. PAF'!L81</f>
        <v>0</v>
      </c>
      <c r="L102" s="146">
        <f>'Pomocná data II.PÚ Ž'!L8*'Pomocná data V. PAF'!M81</f>
        <v>0.7353078094</v>
      </c>
      <c r="M102" s="146">
        <f>'Pomocná data II.PÚ Ž'!M8*'Pomocná data V. PAF'!N81</f>
        <v>0</v>
      </c>
      <c r="N102" s="146">
        <f>'Pomocná data II.PÚ Ž'!N8*'Pomocná data V. PAF'!O81</f>
        <v>0.6568296906</v>
      </c>
      <c r="O102" s="146">
        <f>'Pomocná data II.PÚ Ž'!O8*'Pomocná data V. PAF'!P81</f>
        <v>0.1896708192</v>
      </c>
      <c r="P102" s="146">
        <f>'Pomocná data II.PÚ Ž'!P8*'Pomocná data V. PAF'!Q81</f>
        <v>0.09944083665</v>
      </c>
      <c r="Q102" s="146">
        <f>'Pomocná data II.PÚ Ž'!Q8*'Pomocná data V. PAF'!R81</f>
        <v>0.5694804803</v>
      </c>
      <c r="R102" s="146">
        <f>'Pomocná data II.PÚ Ž'!R8*'Pomocná data V. PAF'!S81</f>
        <v>0.1163088754</v>
      </c>
      <c r="S102" s="146">
        <f>'Pomocná data II.PÚ Ž'!S8*'Pomocná data V. PAF'!T81</f>
        <v>0.1818637275</v>
      </c>
      <c r="T102" s="146">
        <f>'Pomocná data II.PÚ Ž'!T8*'Pomocná data V. PAF'!U81</f>
        <v>0.08352096241</v>
      </c>
      <c r="U102" s="146">
        <f>'Pomocná data II.PÚ Ž'!U8*'Pomocná data V. PAF'!V81</f>
        <v>0</v>
      </c>
      <c r="V102" s="146">
        <f t="shared" si="26"/>
        <v>9.764577369</v>
      </c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</row>
    <row r="103" ht="15.75" customHeight="1">
      <c r="A103" s="388" t="s">
        <v>452</v>
      </c>
      <c r="B103" s="146">
        <f>'Pomocná data II.PÚ Ž'!B9*'Pomocná data V. PAF'!C82</f>
        <v>0</v>
      </c>
      <c r="C103" s="146">
        <f>'Pomocná data II.PÚ Ž'!C9*'Pomocná data V. PAF'!D82</f>
        <v>0</v>
      </c>
      <c r="D103" s="146">
        <f>'Pomocná data II.PÚ Ž'!D9*'Pomocná data V. PAF'!E82</f>
        <v>0</v>
      </c>
      <c r="E103" s="146">
        <f>'Pomocná data II.PÚ Ž'!E9*'Pomocná data V. PAF'!F82</f>
        <v>2.832483186</v>
      </c>
      <c r="F103" s="146">
        <f>'Pomocná data II.PÚ Ž'!F9*'Pomocná data V. PAF'!G82</f>
        <v>0.05150045866</v>
      </c>
      <c r="G103" s="146">
        <f>'Pomocná data II.PÚ Ž'!G9*'Pomocná data V. PAF'!H82</f>
        <v>0</v>
      </c>
      <c r="H103" s="146">
        <f>'Pomocná data II.PÚ Ž'!H9*'Pomocná data V. PAF'!I82</f>
        <v>0.3340101043</v>
      </c>
      <c r="I103" s="146">
        <f>'Pomocná data II.PÚ Ž'!I9*'Pomocná data V. PAF'!J82</f>
        <v>3</v>
      </c>
      <c r="J103" s="146">
        <f>'Pomocná data II.PÚ Ž'!J9*'Pomocná data V. PAF'!K82</f>
        <v>0.1073649702</v>
      </c>
      <c r="K103" s="146">
        <f>'Pomocná data II.PÚ Ž'!K9*'Pomocná data V. PAF'!L82</f>
        <v>0</v>
      </c>
      <c r="L103" s="146">
        <f>'Pomocná data II.PÚ Ž'!L9*'Pomocná data V. PAF'!M82</f>
        <v>1.300452578</v>
      </c>
      <c r="M103" s="146">
        <f>'Pomocná data II.PÚ Ž'!M9*'Pomocná data V. PAF'!N82</f>
        <v>0.8828759953</v>
      </c>
      <c r="N103" s="146">
        <f>'Pomocná data II.PÚ Ž'!N9*'Pomocná data V. PAF'!O82</f>
        <v>0.6984746001</v>
      </c>
      <c r="O103" s="146">
        <f>'Pomocná data II.PÚ Ž'!O9*'Pomocná data V. PAF'!P82</f>
        <v>0.5183414393</v>
      </c>
      <c r="P103" s="146">
        <f>'Pomocná data II.PÚ Ž'!P9*'Pomocná data V. PAF'!Q82</f>
        <v>0.2505182638</v>
      </c>
      <c r="Q103" s="146">
        <f>'Pomocná data II.PÚ Ž'!Q9*'Pomocná data V. PAF'!R82</f>
        <v>0.8156618572</v>
      </c>
      <c r="R103" s="146">
        <f>'Pomocná data II.PÚ Ž'!R9*'Pomocná data V. PAF'!S82</f>
        <v>0.3347173427</v>
      </c>
      <c r="S103" s="146">
        <f>'Pomocná data II.PÚ Ž'!S9*'Pomocná data V. PAF'!T82</f>
        <v>0.1959122632</v>
      </c>
      <c r="T103" s="146">
        <f>'Pomocná data II.PÚ Ž'!T9*'Pomocná data V. PAF'!U82</f>
        <v>0.1354794228</v>
      </c>
      <c r="U103" s="146">
        <f>'Pomocná data II.PÚ Ž'!U9*'Pomocná data V. PAF'!V82</f>
        <v>0.3423496582</v>
      </c>
      <c r="V103" s="146">
        <f t="shared" si="26"/>
        <v>11.80014214</v>
      </c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</row>
    <row r="104" ht="15.75" customHeight="1">
      <c r="A104" s="388" t="s">
        <v>453</v>
      </c>
      <c r="B104" s="146">
        <f>'Pomocná data II.PÚ Ž'!B10*'Pomocná data V. PAF'!C83</f>
        <v>0</v>
      </c>
      <c r="C104" s="146">
        <f>'Pomocná data II.PÚ Ž'!C10*'Pomocná data V. PAF'!D83</f>
        <v>0</v>
      </c>
      <c r="D104" s="146">
        <f>'Pomocná data II.PÚ Ž'!D10*'Pomocná data V. PAF'!E83</f>
        <v>1.949678514</v>
      </c>
      <c r="E104" s="146">
        <f>'Pomocná data II.PÚ Ž'!E10*'Pomocná data V. PAF'!F83</f>
        <v>9.734539926</v>
      </c>
      <c r="F104" s="146">
        <f>'Pomocná data II.PÚ Ž'!F10*'Pomocná data V. PAF'!G83</f>
        <v>0.1271027793</v>
      </c>
      <c r="G104" s="146">
        <f>'Pomocná data II.PÚ Ž'!G10*'Pomocná data V. PAF'!H83</f>
        <v>0</v>
      </c>
      <c r="H104" s="146">
        <f>'Pomocná data II.PÚ Ž'!H10*'Pomocná data V. PAF'!I83</f>
        <v>0.1762446878</v>
      </c>
      <c r="I104" s="146">
        <f>'Pomocná data II.PÚ Ž'!I10*'Pomocná data V. PAF'!J83</f>
        <v>3</v>
      </c>
      <c r="J104" s="146">
        <f>'Pomocná data II.PÚ Ž'!J10*'Pomocná data V. PAF'!K83</f>
        <v>0.1134371106</v>
      </c>
      <c r="K104" s="146">
        <f>'Pomocná data II.PÚ Ž'!K10*'Pomocná data V. PAF'!L83</f>
        <v>0</v>
      </c>
      <c r="L104" s="146">
        <f>'Pomocná data II.PÚ Ž'!L10*'Pomocná data V. PAF'!M83</f>
        <v>1.898622264</v>
      </c>
      <c r="M104" s="146">
        <f>'Pomocná data II.PÚ Ž'!M10*'Pomocná data V. PAF'!N83</f>
        <v>0.9188754528</v>
      </c>
      <c r="N104" s="146">
        <f>'Pomocná data II.PÚ Ž'!N10*'Pomocná data V. PAF'!O83</f>
        <v>0.729546048</v>
      </c>
      <c r="O104" s="146">
        <f>'Pomocná data II.PÚ Ž'!O10*'Pomocná data V. PAF'!P83</f>
        <v>0.7084284149</v>
      </c>
      <c r="P104" s="146">
        <f>'Pomocná data II.PÚ Ž'!P10*'Pomocná data V. PAF'!Q83</f>
        <v>0.4159360723</v>
      </c>
      <c r="Q104" s="146">
        <f>'Pomocná data II.PÚ Ž'!Q10*'Pomocná data V. PAF'!R83</f>
        <v>1.502306122</v>
      </c>
      <c r="R104" s="146">
        <f>'Pomocná data II.PÚ Ž'!R10*'Pomocná data V. PAF'!S83</f>
        <v>0.5744735081</v>
      </c>
      <c r="S104" s="146">
        <f>'Pomocná data II.PÚ Ž'!S10*'Pomocná data V. PAF'!T83</f>
        <v>0.2066345533</v>
      </c>
      <c r="T104" s="146">
        <f>'Pomocná data II.PÚ Ž'!T10*'Pomocná data V. PAF'!U83</f>
        <v>0.07961994984</v>
      </c>
      <c r="U104" s="146">
        <f>'Pomocná data II.PÚ Ž'!U10*'Pomocná data V. PAF'!V83</f>
        <v>0.3600573748</v>
      </c>
      <c r="V104" s="146">
        <f t="shared" si="26"/>
        <v>22.49550278</v>
      </c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</row>
    <row r="105" ht="15.75" customHeight="1">
      <c r="A105" s="388" t="s">
        <v>454</v>
      </c>
      <c r="B105" s="146">
        <f>'Pomocná data II.PÚ Ž'!B11*'Pomocná data V. PAF'!C84</f>
        <v>0.2626238663</v>
      </c>
      <c r="C105" s="146">
        <f>'Pomocná data II.PÚ Ž'!C11*'Pomocná data V. PAF'!D84</f>
        <v>0</v>
      </c>
      <c r="D105" s="146">
        <f>'Pomocná data II.PÚ Ž'!D11*'Pomocná data V. PAF'!E84</f>
        <v>5.452225242</v>
      </c>
      <c r="E105" s="146">
        <f>'Pomocná data II.PÚ Ž'!E11*'Pomocná data V. PAF'!F84</f>
        <v>16.92092029</v>
      </c>
      <c r="F105" s="146">
        <f>'Pomocná data II.PÚ Ž'!F11*'Pomocná data V. PAF'!G84</f>
        <v>0.2087494615</v>
      </c>
      <c r="G105" s="146">
        <f>'Pomocná data II.PÚ Ž'!G11*'Pomocná data V. PAF'!H84</f>
        <v>0</v>
      </c>
      <c r="H105" s="146">
        <f>'Pomocná data II.PÚ Ž'!H11*'Pomocná data V. PAF'!I84</f>
        <v>0.2013750577</v>
      </c>
      <c r="I105" s="146">
        <f>'Pomocná data II.PÚ Ž'!I11*'Pomocná data V. PAF'!J84</f>
        <v>3</v>
      </c>
      <c r="J105" s="146">
        <f>'Pomocná data II.PÚ Ž'!J11*'Pomocná data V. PAF'!K84</f>
        <v>0.1300242513</v>
      </c>
      <c r="K105" s="146">
        <f>'Pomocná data II.PÚ Ž'!K11*'Pomocná data V. PAF'!L84</f>
        <v>0</v>
      </c>
      <c r="L105" s="146">
        <f>'Pomocná data II.PÚ Ž'!L11*'Pomocná data V. PAF'!M84</f>
        <v>2.702175898</v>
      </c>
      <c r="M105" s="146">
        <f>'Pomocná data II.PÚ Ž'!M11*'Pomocná data V. PAF'!N84</f>
        <v>2.023896383</v>
      </c>
      <c r="N105" s="146">
        <f>'Pomocná data II.PÚ Ž'!N11*'Pomocná data V. PAF'!O84</f>
        <v>1.89213279</v>
      </c>
      <c r="O105" s="146">
        <f>'Pomocná data II.PÚ Ž'!O11*'Pomocná data V. PAF'!P84</f>
        <v>0.9204845435</v>
      </c>
      <c r="P105" s="146">
        <f>'Pomocná data II.PÚ Ž'!P11*'Pomocná data V. PAF'!Q84</f>
        <v>0.9101697591</v>
      </c>
      <c r="Q105" s="146">
        <f>'Pomocná data II.PÚ Ž'!Q11*'Pomocná data V. PAF'!R84</f>
        <v>2.190834197</v>
      </c>
      <c r="R105" s="146">
        <f>'Pomocná data II.PÚ Ž'!R11*'Pomocná data V. PAF'!S84</f>
        <v>1.669894617</v>
      </c>
      <c r="S105" s="146">
        <f>'Pomocná data II.PÚ Ž'!S11*'Pomocná data V. PAF'!T84</f>
        <v>0.4714727996</v>
      </c>
      <c r="T105" s="146">
        <f>'Pomocná data II.PÚ Ž'!T11*'Pomocná data V. PAF'!U84</f>
        <v>0.384580648</v>
      </c>
      <c r="U105" s="146">
        <f>'Pomocná data II.PÚ Ž'!U11*'Pomocná data V. PAF'!V84</f>
        <v>0.4076138382</v>
      </c>
      <c r="V105" s="146">
        <f t="shared" si="26"/>
        <v>39.74917364</v>
      </c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</row>
    <row r="106" ht="15.75" customHeight="1">
      <c r="A106" s="388" t="s">
        <v>455</v>
      </c>
      <c r="B106" s="146">
        <f>'Pomocná data II.PÚ Ž'!B12*'Pomocná data V. PAF'!C85</f>
        <v>0.2994382832</v>
      </c>
      <c r="C106" s="146">
        <f>'Pomocná data II.PÚ Ž'!C12*'Pomocná data V. PAF'!D85</f>
        <v>0</v>
      </c>
      <c r="D106" s="146">
        <f>'Pomocná data II.PÚ Ž'!D12*'Pomocná data V. PAF'!E85</f>
        <v>9.25709712</v>
      </c>
      <c r="E106" s="146">
        <f>'Pomocná data II.PÚ Ž'!E12*'Pomocná data V. PAF'!F85</f>
        <v>29.70878599</v>
      </c>
      <c r="F106" s="146">
        <f>'Pomocná data II.PÚ Ž'!F12*'Pomocná data V. PAF'!G85</f>
        <v>0.3366645846</v>
      </c>
      <c r="G106" s="146">
        <f>'Pomocná data II.PÚ Ž'!G12*'Pomocná data V. PAF'!H85</f>
        <v>0</v>
      </c>
      <c r="H106" s="146">
        <f>'Pomocná data II.PÚ Ž'!H12*'Pomocná data V. PAF'!I85</f>
        <v>0.6909782488</v>
      </c>
      <c r="I106" s="146">
        <f>'Pomocná data II.PÚ Ž'!I12*'Pomocná data V. PAF'!J85</f>
        <v>3</v>
      </c>
      <c r="J106" s="146">
        <f>'Pomocná data II.PÚ Ž'!J12*'Pomocná data V. PAF'!K85</f>
        <v>0.1492645102</v>
      </c>
      <c r="K106" s="146">
        <f>'Pomocná data II.PÚ Ž'!K12*'Pomocná data V. PAF'!L85</f>
        <v>0</v>
      </c>
      <c r="L106" s="146">
        <f>'Pomocná data II.PÚ Ž'!L12*'Pomocná data V. PAF'!M85</f>
        <v>2.98347461</v>
      </c>
      <c r="M106" s="146">
        <f>'Pomocná data II.PÚ Ž'!M12*'Pomocná data V. PAF'!N85</f>
        <v>3.333492835</v>
      </c>
      <c r="N106" s="146">
        <f>'Pomocná data II.PÚ Ž'!N12*'Pomocná data V. PAF'!O85</f>
        <v>5.396017141</v>
      </c>
      <c r="O106" s="146">
        <f>'Pomocná data II.PÚ Ž'!O12*'Pomocná data V. PAF'!P85</f>
        <v>1.395312192</v>
      </c>
      <c r="P106" s="146">
        <f>'Pomocná data II.PÚ Ž'!P12*'Pomocná data V. PAF'!Q85</f>
        <v>2.736516021</v>
      </c>
      <c r="Q106" s="146">
        <f>'Pomocná data II.PÚ Ž'!Q12*'Pomocná data V. PAF'!R85</f>
        <v>4.555647497</v>
      </c>
      <c r="R106" s="146">
        <f>'Pomocná data II.PÚ Ž'!R12*'Pomocná data V. PAF'!S85</f>
        <v>2.669178598</v>
      </c>
      <c r="S106" s="146">
        <f>'Pomocná data II.PÚ Ž'!S12*'Pomocná data V. PAF'!T85</f>
        <v>1.614914069</v>
      </c>
      <c r="T106" s="146">
        <f>'Pomocná data II.PÚ Ž'!T12*'Pomocná data V. PAF'!U85</f>
        <v>0.6753592545</v>
      </c>
      <c r="U106" s="146">
        <f>'Pomocná data II.PÚ Ž'!U12*'Pomocná data V. PAF'!V85</f>
        <v>3.229292895</v>
      </c>
      <c r="V106" s="146">
        <f t="shared" si="26"/>
        <v>72.03143385</v>
      </c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</row>
    <row r="107" ht="15.75" customHeight="1">
      <c r="A107" s="388" t="s">
        <v>456</v>
      </c>
      <c r="B107" s="146">
        <f>'Pomocná data II.PÚ Ž'!B13*'Pomocná data V. PAF'!C86</f>
        <v>0.2994382832</v>
      </c>
      <c r="C107" s="146">
        <f>'Pomocná data II.PÚ Ž'!C13*'Pomocná data V. PAF'!D86</f>
        <v>0</v>
      </c>
      <c r="D107" s="146">
        <f>'Pomocná data II.PÚ Ž'!D13*'Pomocná data V. PAF'!E86</f>
        <v>36.31630408</v>
      </c>
      <c r="E107" s="146">
        <f>'Pomocná data II.PÚ Ž'!E13*'Pomocná data V. PAF'!F86</f>
        <v>79.46205409</v>
      </c>
      <c r="F107" s="146">
        <f>'Pomocná data II.PÚ Ž'!F13*'Pomocná data V. PAF'!G86</f>
        <v>0.7695190506</v>
      </c>
      <c r="G107" s="146">
        <f>'Pomocná data II.PÚ Ž'!G13*'Pomocná data V. PAF'!H86</f>
        <v>0</v>
      </c>
      <c r="H107" s="146">
        <f>'Pomocná data II.PÚ Ž'!H13*'Pomocná data V. PAF'!I86</f>
        <v>1.305181137</v>
      </c>
      <c r="I107" s="146">
        <f>'Pomocná data II.PÚ Ž'!I13*'Pomocná data V. PAF'!J86</f>
        <v>7</v>
      </c>
      <c r="J107" s="146">
        <f>'Pomocná data II.PÚ Ž'!J13*'Pomocná data V. PAF'!K86</f>
        <v>0.1492645102</v>
      </c>
      <c r="K107" s="146">
        <f>'Pomocná data II.PÚ Ž'!K13*'Pomocná data V. PAF'!L86</f>
        <v>0</v>
      </c>
      <c r="L107" s="146">
        <f>'Pomocná data II.PÚ Ž'!L13*'Pomocná data V. PAF'!M86</f>
        <v>3.646468968</v>
      </c>
      <c r="M107" s="146">
        <f>'Pomocná data II.PÚ Ž'!M13*'Pomocná data V. PAF'!N86</f>
        <v>8.889314227</v>
      </c>
      <c r="N107" s="146">
        <f>'Pomocná data II.PÚ Ž'!N13*'Pomocná data V. PAF'!O86</f>
        <v>7.794246982</v>
      </c>
      <c r="O107" s="146">
        <f>'Pomocná data II.PÚ Ž'!O13*'Pomocná data V. PAF'!P86</f>
        <v>2.654126453</v>
      </c>
      <c r="P107" s="146">
        <f>'Pomocná data II.PÚ Ž'!P13*'Pomocná data V. PAF'!Q86</f>
        <v>5.124748185</v>
      </c>
      <c r="Q107" s="146">
        <f>'Pomocná data II.PÚ Ž'!Q13*'Pomocná data V. PAF'!R86</f>
        <v>7.178596056</v>
      </c>
      <c r="R107" s="146">
        <f>'Pomocná data II.PÚ Ž'!R13*'Pomocná data V. PAF'!S86</f>
        <v>5.338357197</v>
      </c>
      <c r="S107" s="146">
        <f>'Pomocná data II.PÚ Ž'!S13*'Pomocná data V. PAF'!T86</f>
        <v>3.498980484</v>
      </c>
      <c r="T107" s="146">
        <f>'Pomocná data II.PÚ Ž'!T13*'Pomocná data V. PAF'!U86</f>
        <v>1.519558323</v>
      </c>
      <c r="U107" s="146">
        <f>'Pomocná data II.PÚ Ž'!U13*'Pomocná data V. PAF'!V86</f>
        <v>6.919913347</v>
      </c>
      <c r="V107" s="146">
        <f t="shared" si="26"/>
        <v>177.8660714</v>
      </c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198"/>
      <c r="BQ107" s="198"/>
    </row>
    <row r="108" ht="15.75" customHeight="1">
      <c r="A108" s="389" t="s">
        <v>457</v>
      </c>
      <c r="B108" s="390">
        <f>'Pomocná data II.PÚ Ž'!B14*'Pomocná data V. PAF'!C87</f>
        <v>0.6159346272</v>
      </c>
      <c r="C108" s="390">
        <f>'Pomocná data II.PÚ Ž'!C14*'Pomocná data V. PAF'!D87</f>
        <v>0</v>
      </c>
      <c r="D108" s="390">
        <f>'Pomocná data II.PÚ Ž'!D14*'Pomocná data V. PAF'!E87</f>
        <v>79.88118171</v>
      </c>
      <c r="E108" s="390">
        <f>'Pomocná data II.PÚ Ž'!E14*'Pomocná data V. PAF'!F87</f>
        <v>159.0715382</v>
      </c>
      <c r="F108" s="390">
        <f>'Pomocná data II.PÚ Ž'!F14*'Pomocná data V. PAF'!G87</f>
        <v>0.9025689223</v>
      </c>
      <c r="G108" s="390">
        <f>'Pomocná data II.PÚ Ž'!G14*'Pomocná data V. PAF'!H87</f>
        <v>0</v>
      </c>
      <c r="H108" s="390">
        <f>'Pomocná data II.PÚ Ž'!H14*'Pomocná data V. PAF'!I87</f>
        <v>1.889365512</v>
      </c>
      <c r="I108" s="390">
        <f>'Pomocná data II.PÚ Ž'!I14*'Pomocná data V. PAF'!J87</f>
        <v>8</v>
      </c>
      <c r="J108" s="390">
        <f>'Pomocná data II.PÚ Ž'!J14*'Pomocná data V. PAF'!K87</f>
        <v>0.4357473507</v>
      </c>
      <c r="K108" s="390">
        <f>'Pomocná data II.PÚ Ž'!K14*'Pomocná data V. PAF'!L87</f>
        <v>0</v>
      </c>
      <c r="L108" s="390">
        <f>'Pomocná data II.PÚ Ž'!L14*'Pomocná data V. PAF'!M87</f>
        <v>15.37253751</v>
      </c>
      <c r="M108" s="390">
        <f>'Pomocná data II.PÚ Ž'!M14*'Pomocná data V. PAF'!N87</f>
        <v>12.86573008</v>
      </c>
      <c r="N108" s="390">
        <f>'Pomocná data II.PÚ Ž'!N14*'Pomocná data V. PAF'!O87</f>
        <v>13.84207152</v>
      </c>
      <c r="O108" s="390">
        <f>'Pomocná data II.PÚ Ž'!O14*'Pomocná data V. PAF'!P87</f>
        <v>2.353660943</v>
      </c>
      <c r="P108" s="390">
        <f>'Pomocná data II.PÚ Ž'!P14*'Pomocná data V. PAF'!Q87</f>
        <v>7.146256552</v>
      </c>
      <c r="Q108" s="390">
        <f>'Pomocná data II.PÚ Ž'!Q14*'Pomocná data V. PAF'!R87</f>
        <v>12.7206853</v>
      </c>
      <c r="R108" s="390">
        <f>'Pomocná data II.PÚ Ž'!R14*'Pomocná data V. PAF'!S87</f>
        <v>5.596051632</v>
      </c>
      <c r="S108" s="390">
        <f>'Pomocná data II.PÚ Ž'!S14*'Pomocná data V. PAF'!T87</f>
        <v>4.818155025</v>
      </c>
      <c r="T108" s="390">
        <f>'Pomocná data II.PÚ Ž'!T14*'Pomocná data V. PAF'!U87</f>
        <v>2.706937846</v>
      </c>
      <c r="U108" s="390">
        <f>'Pomocná data II.PÚ Ž'!U14*'Pomocná data V. PAF'!V87</f>
        <v>10.64946638</v>
      </c>
      <c r="V108" s="390">
        <f t="shared" si="26"/>
        <v>338.8678891</v>
      </c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P108" s="198"/>
      <c r="BQ108" s="198"/>
    </row>
    <row r="109" ht="15.75" customHeight="1">
      <c r="A109" s="389" t="s">
        <v>458</v>
      </c>
      <c r="B109" s="390">
        <f>'Pomocná data II.PÚ Ž'!B15*'Pomocná data V. PAF'!C88</f>
        <v>0.9847622545</v>
      </c>
      <c r="C109" s="390">
        <f>'Pomocná data II.PÚ Ž'!C15*'Pomocná data V. PAF'!D88</f>
        <v>0</v>
      </c>
      <c r="D109" s="390">
        <f>'Pomocná data II.PÚ Ž'!D15*'Pomocná data V. PAF'!E88</f>
        <v>149.8526277</v>
      </c>
      <c r="E109" s="390">
        <f>'Pomocná data II.PÚ Ž'!E15*'Pomocná data V. PAF'!F88</f>
        <v>255.5215767</v>
      </c>
      <c r="F109" s="390">
        <f>'Pomocná data II.PÚ Ž'!F15*'Pomocná data V. PAF'!G88</f>
        <v>1.460975291</v>
      </c>
      <c r="G109" s="390">
        <f>'Pomocná data II.PÚ Ž'!G15*'Pomocná data V. PAF'!H88</f>
        <v>0</v>
      </c>
      <c r="H109" s="390">
        <f>'Pomocná data II.PÚ Ž'!H15*'Pomocná data V. PAF'!I88</f>
        <v>1.44524624</v>
      </c>
      <c r="I109" s="390">
        <f>'Pomocná data II.PÚ Ž'!I15*'Pomocná data V. PAF'!J88</f>
        <v>14</v>
      </c>
      <c r="J109" s="390">
        <f>'Pomocná data II.PÚ Ž'!J15*'Pomocná data V. PAF'!K88</f>
        <v>0.6886124126</v>
      </c>
      <c r="K109" s="390">
        <f>'Pomocná data II.PÚ Ž'!K15*'Pomocná data V. PAF'!L88</f>
        <v>0</v>
      </c>
      <c r="L109" s="390">
        <f>'Pomocná data II.PÚ Ž'!L15*'Pomocná data V. PAF'!M88</f>
        <v>15.99476122</v>
      </c>
      <c r="M109" s="390">
        <f>'Pomocná data II.PÚ Ž'!M15*'Pomocná data V. PAF'!N88</f>
        <v>14.477385</v>
      </c>
      <c r="N109" s="390">
        <f>'Pomocná data II.PÚ Ž'!N15*'Pomocná data V. PAF'!O88</f>
        <v>17.96248343</v>
      </c>
      <c r="O109" s="390">
        <f>'Pomocná data II.PÚ Ž'!O15*'Pomocná data V. PAF'!P88</f>
        <v>3.041567207</v>
      </c>
      <c r="P109" s="390">
        <f>'Pomocná data II.PÚ Ž'!P15*'Pomocná data V. PAF'!Q88</f>
        <v>8.789934914</v>
      </c>
      <c r="Q109" s="390">
        <f>'Pomocná data II.PÚ Ž'!Q15*'Pomocná data V. PAF'!R88</f>
        <v>16.81165496</v>
      </c>
      <c r="R109" s="390">
        <f>'Pomocná data II.PÚ Ž'!R15*'Pomocná data V. PAF'!S88</f>
        <v>5.583359797</v>
      </c>
      <c r="S109" s="390">
        <f>'Pomocná data II.PÚ Ž'!S15*'Pomocná data V. PAF'!T88</f>
        <v>4.490612648</v>
      </c>
      <c r="T109" s="390">
        <f>'Pomocná data II.PÚ Ž'!T15*'Pomocná data V. PAF'!U88</f>
        <v>4.117802205</v>
      </c>
      <c r="U109" s="390">
        <f>'Pomocná data II.PÚ Ž'!U15*'Pomocná data V. PAF'!V88</f>
        <v>21.34141094</v>
      </c>
      <c r="V109" s="390">
        <f t="shared" si="26"/>
        <v>536.5647728</v>
      </c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P109" s="198"/>
      <c r="BQ109" s="198"/>
    </row>
    <row r="110" ht="15.75" customHeight="1">
      <c r="A110" s="389" t="s">
        <v>459</v>
      </c>
      <c r="B110" s="390">
        <f>SUM('Pomocná data II.PÚ Ž'!B16:B20)*'Pomocná data V. PAF'!C89</f>
        <v>4.338454671</v>
      </c>
      <c r="C110" s="390">
        <f>SUM('Pomocná data II.PÚ Ž'!C16:C20)*'Pomocná data V. PAF'!D89</f>
        <v>0</v>
      </c>
      <c r="D110" s="390">
        <f>SUM('Pomocná data II.PÚ Ž'!D16:D20)*'Pomocná data V. PAF'!E89</f>
        <v>973.7747053</v>
      </c>
      <c r="E110" s="390">
        <f>SUM('Pomocná data II.PÚ Ž'!E16:E20)*'Pomocná data V. PAF'!F89</f>
        <v>2711.971711</v>
      </c>
      <c r="F110" s="390">
        <f>SUM('Pomocná data II.PÚ Ž'!F16:F20)*'Pomocná data V. PAF'!G89</f>
        <v>3.881029192</v>
      </c>
      <c r="G110" s="390">
        <f>SUM('Pomocná data II.PÚ Ž'!G16:G20)*'Pomocná data V. PAF'!H89</f>
        <v>0</v>
      </c>
      <c r="H110" s="390">
        <f>SUM('Pomocná data II.PÚ Ž'!H16:H20)*'Pomocná data V. PAF'!I89</f>
        <v>4.113012694</v>
      </c>
      <c r="I110" s="390">
        <f>SUM('Pomocná data II.PÚ Ž'!I16:I20)*'Pomocná data V. PAF'!J89</f>
        <v>15</v>
      </c>
      <c r="J110" s="390">
        <f>SUM('Pomocná data II.PÚ Ž'!J16:J20)*'Pomocná data V. PAF'!K89</f>
        <v>3.705580717</v>
      </c>
      <c r="K110" s="390">
        <f>SUM('Pomocná data II.PÚ Ž'!K16:K20)*'Pomocná data V. PAF'!L89</f>
        <v>0.466045003</v>
      </c>
      <c r="L110" s="390">
        <f>SUM('Pomocná data II.PÚ Ž'!L16:L20)*'Pomocná data V. PAF'!M89</f>
        <v>87.86822947</v>
      </c>
      <c r="M110" s="390">
        <f>SUM('Pomocná data II.PÚ Ž'!M16:M20)*'Pomocná data V. PAF'!N89</f>
        <v>34.8066953</v>
      </c>
      <c r="N110" s="390">
        <f>SUM('Pomocná data II.PÚ Ž'!N16:N20)*'Pomocná data V. PAF'!O89</f>
        <v>51.32566195</v>
      </c>
      <c r="O110" s="390">
        <f>SUM('Pomocná data II.PÚ Ž'!O16:O20)*'Pomocná data V. PAF'!P89</f>
        <v>7.425503489</v>
      </c>
      <c r="P110" s="390">
        <f>SUM('Pomocná data II.PÚ Ž'!P16:P20)*'Pomocná data V. PAF'!Q89</f>
        <v>17.53288654</v>
      </c>
      <c r="Q110" s="390">
        <f>SUM('Pomocná data II.PÚ Ž'!Q16:Q20)*'Pomocná data V. PAF'!R89</f>
        <v>49.20929394</v>
      </c>
      <c r="R110" s="390">
        <f>SUM('Pomocná data II.PÚ Ž'!R16:R20)*'Pomocná data V. PAF'!S89</f>
        <v>8.225187176</v>
      </c>
      <c r="S110" s="390">
        <f>SUM('Pomocná data II.PÚ Ž'!S16:S20)*'Pomocná data V. PAF'!T89</f>
        <v>13.91661668</v>
      </c>
      <c r="T110" s="390">
        <f>SUM('Pomocná data II.PÚ Ž'!T16:T20)*'Pomocná data V. PAF'!U89</f>
        <v>35.73040419</v>
      </c>
      <c r="U110" s="390">
        <f>SUM('Pomocná data II.PÚ Ž'!U16:U20)*'Pomocná data V. PAF'!V89</f>
        <v>210.7656836</v>
      </c>
      <c r="V110" s="390">
        <f t="shared" si="26"/>
        <v>4234.056701</v>
      </c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198"/>
      <c r="BQ110" s="198"/>
    </row>
    <row r="111" ht="15.75" customHeight="1">
      <c r="A111" s="391" t="s">
        <v>471</v>
      </c>
      <c r="B111" s="392">
        <f t="shared" ref="B111:U111" si="27">SUM(B98:B107)</f>
        <v>1.152023099</v>
      </c>
      <c r="C111" s="392">
        <f t="shared" si="27"/>
        <v>0</v>
      </c>
      <c r="D111" s="392">
        <f t="shared" si="27"/>
        <v>54.82999722</v>
      </c>
      <c r="E111" s="392">
        <f t="shared" si="27"/>
        <v>141.0856658</v>
      </c>
      <c r="F111" s="392">
        <f t="shared" si="27"/>
        <v>1.574356212</v>
      </c>
      <c r="G111" s="392">
        <f t="shared" si="27"/>
        <v>0</v>
      </c>
      <c r="H111" s="392">
        <f t="shared" si="27"/>
        <v>3.005387514</v>
      </c>
      <c r="I111" s="392">
        <f t="shared" si="27"/>
        <v>22</v>
      </c>
      <c r="J111" s="392">
        <f t="shared" si="27"/>
        <v>0.7119831664</v>
      </c>
      <c r="K111" s="392">
        <f t="shared" si="27"/>
        <v>0</v>
      </c>
      <c r="L111" s="392">
        <f t="shared" si="27"/>
        <v>13.86846055</v>
      </c>
      <c r="M111" s="392">
        <f t="shared" si="27"/>
        <v>16.04845489</v>
      </c>
      <c r="N111" s="392">
        <f t="shared" si="27"/>
        <v>17.47895672</v>
      </c>
      <c r="O111" s="392">
        <f t="shared" si="27"/>
        <v>6.448679075</v>
      </c>
      <c r="P111" s="392">
        <f t="shared" si="27"/>
        <v>9.537329138</v>
      </c>
      <c r="Q111" s="392">
        <f t="shared" si="27"/>
        <v>16.99619939</v>
      </c>
      <c r="R111" s="392">
        <f t="shared" si="27"/>
        <v>10.82556887</v>
      </c>
      <c r="S111" s="392">
        <f t="shared" si="27"/>
        <v>6.285533337</v>
      </c>
      <c r="T111" s="392">
        <f t="shared" si="27"/>
        <v>2.93915627</v>
      </c>
      <c r="U111" s="392">
        <f t="shared" si="27"/>
        <v>11.465922</v>
      </c>
      <c r="V111" s="392">
        <f t="shared" si="26"/>
        <v>336.2536732</v>
      </c>
      <c r="W111" s="13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</row>
    <row r="112" ht="15.75" customHeight="1">
      <c r="A112" s="391" t="s">
        <v>472</v>
      </c>
      <c r="B112" s="393">
        <f t="shared" ref="B112:U112" si="28">SUM(B108:B110)</f>
        <v>5.939151552</v>
      </c>
      <c r="C112" s="393">
        <f t="shared" si="28"/>
        <v>0</v>
      </c>
      <c r="D112" s="393">
        <f t="shared" si="28"/>
        <v>1203.508515</v>
      </c>
      <c r="E112" s="393">
        <f t="shared" si="28"/>
        <v>3126.564826</v>
      </c>
      <c r="F112" s="393">
        <f t="shared" si="28"/>
        <v>6.244573405</v>
      </c>
      <c r="G112" s="393">
        <f t="shared" si="28"/>
        <v>0</v>
      </c>
      <c r="H112" s="393">
        <f t="shared" si="28"/>
        <v>7.447624445</v>
      </c>
      <c r="I112" s="393">
        <f t="shared" si="28"/>
        <v>37</v>
      </c>
      <c r="J112" s="393">
        <f t="shared" si="28"/>
        <v>4.82994048</v>
      </c>
      <c r="K112" s="393">
        <f t="shared" si="28"/>
        <v>0.466045003</v>
      </c>
      <c r="L112" s="393">
        <f t="shared" si="28"/>
        <v>119.2355282</v>
      </c>
      <c r="M112" s="393">
        <f t="shared" si="28"/>
        <v>62.14981039</v>
      </c>
      <c r="N112" s="393">
        <f t="shared" si="28"/>
        <v>83.13021689</v>
      </c>
      <c r="O112" s="393">
        <f t="shared" si="28"/>
        <v>12.82073164</v>
      </c>
      <c r="P112" s="393">
        <f t="shared" si="28"/>
        <v>33.46907801</v>
      </c>
      <c r="Q112" s="393">
        <f t="shared" si="28"/>
        <v>78.74163419</v>
      </c>
      <c r="R112" s="393">
        <f t="shared" si="28"/>
        <v>19.40459861</v>
      </c>
      <c r="S112" s="393">
        <f t="shared" si="28"/>
        <v>23.22538435</v>
      </c>
      <c r="T112" s="393">
        <f t="shared" si="28"/>
        <v>42.55514424</v>
      </c>
      <c r="U112" s="393">
        <f t="shared" si="28"/>
        <v>242.7565609</v>
      </c>
      <c r="V112" s="393">
        <f t="shared" si="26"/>
        <v>5109.489363</v>
      </c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</row>
    <row r="113" ht="15.75" customHeight="1">
      <c r="A113" s="13"/>
      <c r="B113" s="198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</row>
    <row r="114" ht="15.75" customHeight="1">
      <c r="A114" s="13" t="s">
        <v>283</v>
      </c>
      <c r="B114" s="198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</row>
    <row r="115" ht="15.75" customHeight="1">
      <c r="A115" s="236" t="s">
        <v>468</v>
      </c>
      <c r="B115" s="387" t="s">
        <v>288</v>
      </c>
      <c r="C115" s="387" t="s">
        <v>405</v>
      </c>
      <c r="D115" s="387" t="s">
        <v>469</v>
      </c>
      <c r="E115" s="387" t="s">
        <v>294</v>
      </c>
      <c r="F115" s="387" t="s">
        <v>296</v>
      </c>
      <c r="G115" s="387" t="s">
        <v>298</v>
      </c>
      <c r="H115" s="387" t="s">
        <v>300</v>
      </c>
      <c r="I115" s="387" t="s">
        <v>89</v>
      </c>
      <c r="J115" s="387" t="s">
        <v>303</v>
      </c>
      <c r="K115" s="387" t="s">
        <v>470</v>
      </c>
      <c r="L115" s="387" t="s">
        <v>307</v>
      </c>
      <c r="M115" s="387" t="s">
        <v>406</v>
      </c>
      <c r="N115" s="387" t="s">
        <v>311</v>
      </c>
      <c r="O115" s="387" t="s">
        <v>313</v>
      </c>
      <c r="P115" s="387" t="s">
        <v>315</v>
      </c>
      <c r="Q115" s="387" t="s">
        <v>407</v>
      </c>
      <c r="R115" s="387" t="s">
        <v>319</v>
      </c>
      <c r="S115" s="387" t="s">
        <v>321</v>
      </c>
      <c r="T115" s="387" t="s">
        <v>323</v>
      </c>
      <c r="U115" s="387" t="s">
        <v>408</v>
      </c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</row>
    <row r="116" ht="15.75" customHeight="1">
      <c r="A116" s="388" t="s">
        <v>447</v>
      </c>
      <c r="B116" s="146">
        <f>'Pomocná data III.PÚ M'!B4*'Pomocná data V. PAF'!C56</f>
        <v>0</v>
      </c>
      <c r="C116" s="146">
        <f>'Pomocná data III.PÚ M'!C4*'Pomocná data V. PAF'!D56</f>
        <v>0</v>
      </c>
      <c r="D116" s="146">
        <f>'Pomocná data III.PÚ M'!D4*'Pomocná data V. PAF'!E56</f>
        <v>0</v>
      </c>
      <c r="E116" s="146">
        <f>'Pomocná data III.PÚ M'!E4*'Pomocná data V. PAF'!F56</f>
        <v>0</v>
      </c>
      <c r="F116" s="146">
        <f>'Pomocná data III.PÚ M'!F4*'Pomocná data V. PAF'!G56</f>
        <v>0</v>
      </c>
      <c r="G116" s="146">
        <f>'Pomocná data III.PÚ M'!G4*'Pomocná data V. PAF'!H56</f>
        <v>0</v>
      </c>
      <c r="H116" s="146">
        <f>'Pomocná data III.PÚ M'!H4*'Pomocná data V. PAF'!I56</f>
        <v>0</v>
      </c>
      <c r="I116" s="146">
        <f>'Pomocná data III.PÚ M'!I4*'Pomocná data V. PAF'!J56</f>
        <v>0</v>
      </c>
      <c r="J116" s="146">
        <f>'Pomocná data III.PÚ M'!J4*'Pomocná data V. PAF'!K56</f>
        <v>0</v>
      </c>
      <c r="K116" s="146">
        <f>'Pomocná data III.PÚ M'!K4*'Pomocná data V. PAF'!L56</f>
        <v>0</v>
      </c>
      <c r="L116" s="146">
        <f>'Pomocná data III.PÚ M'!L4*'Pomocná data V. PAF'!M56</f>
        <v>0</v>
      </c>
      <c r="M116" s="146"/>
      <c r="N116" s="146">
        <f>'Pomocná data III.PÚ M'!N4*'Pomocná data V. PAF'!O56</f>
        <v>0.07841533248</v>
      </c>
      <c r="O116" s="146">
        <f>'Pomocná data III.PÚ M'!O4*'Pomocná data V. PAF'!P56</f>
        <v>0</v>
      </c>
      <c r="P116" s="146">
        <f>'Pomocná data III.PÚ M'!P4*'Pomocná data V. PAF'!Q56</f>
        <v>0</v>
      </c>
      <c r="Q116" s="146">
        <f>'Pomocná data III.PÚ M'!Q4*'Pomocná data V. PAF'!R56</f>
        <v>0</v>
      </c>
      <c r="R116" s="146"/>
      <c r="S116" s="146">
        <f>'Pomocná data III.PÚ M'!S4*'Pomocná data V. PAF'!T56</f>
        <v>0</v>
      </c>
      <c r="T116" s="146">
        <f>'Pomocná data III.PÚ M'!T4*'Pomocná data V. PAF'!U56</f>
        <v>0.03134895503</v>
      </c>
      <c r="U116" s="146">
        <f>'Pomocná data III.PÚ M'!U4*'Pomocná data V. PAF'!V56</f>
        <v>0</v>
      </c>
      <c r="V116" s="146">
        <f t="shared" ref="V116:V128" si="29">SUM(B116:U116)</f>
        <v>0.1097642875</v>
      </c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</row>
    <row r="117" ht="15.75" customHeight="1">
      <c r="A117" s="388" t="s">
        <v>448</v>
      </c>
      <c r="B117" s="146">
        <f>'Pomocná data III.PÚ M'!B5*'Pomocná data V. PAF'!C57</f>
        <v>0</v>
      </c>
      <c r="C117" s="146">
        <f>'Pomocná data III.PÚ M'!C5*'Pomocná data V. PAF'!D57</f>
        <v>0</v>
      </c>
      <c r="D117" s="146">
        <f>'Pomocná data III.PÚ M'!D5*'Pomocná data V. PAF'!E57</f>
        <v>0</v>
      </c>
      <c r="E117" s="146">
        <f>'Pomocná data III.PÚ M'!E5*'Pomocná data V. PAF'!F57</f>
        <v>0</v>
      </c>
      <c r="F117" s="146">
        <f>'Pomocná data III.PÚ M'!F5*'Pomocná data V. PAF'!G57</f>
        <v>0</v>
      </c>
      <c r="G117" s="146">
        <f>'Pomocná data III.PÚ M'!G5*'Pomocná data V. PAF'!H57</f>
        <v>0.0153213504</v>
      </c>
      <c r="H117" s="146">
        <f>'Pomocná data III.PÚ M'!H5*'Pomocná data V. PAF'!I57</f>
        <v>0.07088459285</v>
      </c>
      <c r="I117" s="146">
        <f>'Pomocná data III.PÚ M'!I5*'Pomocná data V. PAF'!J57</f>
        <v>0</v>
      </c>
      <c r="J117" s="146">
        <f>'Pomocná data III.PÚ M'!J5*'Pomocná data V. PAF'!K57</f>
        <v>0.008774262164</v>
      </c>
      <c r="K117" s="146">
        <f>'Pomocná data III.PÚ M'!K5*'Pomocná data V. PAF'!L57</f>
        <v>0</v>
      </c>
      <c r="L117" s="146">
        <f>'Pomocná data III.PÚ M'!L5*'Pomocná data V. PAF'!M57</f>
        <v>0</v>
      </c>
      <c r="M117" s="146"/>
      <c r="N117" s="146">
        <f>'Pomocná data III.PÚ M'!N5*'Pomocná data V. PAF'!O57</f>
        <v>0</v>
      </c>
      <c r="O117" s="146">
        <f>'Pomocná data III.PÚ M'!O5*'Pomocná data V. PAF'!P57</f>
        <v>0</v>
      </c>
      <c r="P117" s="146">
        <f>'Pomocná data III.PÚ M'!P5*'Pomocná data V. PAF'!Q57</f>
        <v>0</v>
      </c>
      <c r="Q117" s="146">
        <f>'Pomocná data III.PÚ M'!Q5*'Pomocná data V. PAF'!R57</f>
        <v>0.1244168956</v>
      </c>
      <c r="R117" s="146"/>
      <c r="S117" s="146">
        <f>'Pomocná data III.PÚ M'!S5*'Pomocná data V. PAF'!T57</f>
        <v>0</v>
      </c>
      <c r="T117" s="146">
        <f>'Pomocná data III.PÚ M'!T5*'Pomocná data V. PAF'!U57</f>
        <v>0.05188679245</v>
      </c>
      <c r="U117" s="146">
        <f>'Pomocná data III.PÚ M'!U5*'Pomocná data V. PAF'!V57</f>
        <v>0</v>
      </c>
      <c r="V117" s="146">
        <f t="shared" si="29"/>
        <v>0.2712838935</v>
      </c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</row>
    <row r="118" ht="15.75" customHeight="1">
      <c r="A118" s="388" t="s">
        <v>449</v>
      </c>
      <c r="B118" s="146">
        <f>'Pomocná data III.PÚ M'!B6*'Pomocná data V. PAF'!C58</f>
        <v>0</v>
      </c>
      <c r="C118" s="146">
        <f>'Pomocná data III.PÚ M'!C6*'Pomocná data V. PAF'!D58</f>
        <v>0</v>
      </c>
      <c r="D118" s="146">
        <f>'Pomocná data III.PÚ M'!D6*'Pomocná data V. PAF'!E58</f>
        <v>1.031506827</v>
      </c>
      <c r="E118" s="146">
        <f>'Pomocná data III.PÚ M'!E6*'Pomocná data V. PAF'!F58</f>
        <v>0.1664297487</v>
      </c>
      <c r="F118" s="146">
        <f>'Pomocná data III.PÚ M'!F6*'Pomocná data V. PAF'!G58</f>
        <v>0</v>
      </c>
      <c r="G118" s="146">
        <f>'Pomocná data III.PÚ M'!G6*'Pomocná data V. PAF'!H58</f>
        <v>0.02399158782</v>
      </c>
      <c r="H118" s="146">
        <f>'Pomocná data III.PÚ M'!H6*'Pomocná data V. PAF'!I58</f>
        <v>0.1098405114</v>
      </c>
      <c r="I118" s="146">
        <f>'Pomocná data III.PÚ M'!I6*'Pomocná data V. PAF'!J58</f>
        <v>0</v>
      </c>
      <c r="J118" s="146">
        <f>'Pomocná data III.PÚ M'!J6*'Pomocná data V. PAF'!K58</f>
        <v>0</v>
      </c>
      <c r="K118" s="146">
        <f>'Pomocná data III.PÚ M'!K6*'Pomocná data V. PAF'!L58</f>
        <v>0</v>
      </c>
      <c r="L118" s="146">
        <f>'Pomocná data III.PÚ M'!L6*'Pomocná data V. PAF'!M58</f>
        <v>0.4692478464</v>
      </c>
      <c r="M118" s="146"/>
      <c r="N118" s="146">
        <f>'Pomocná data III.PÚ M'!N6*'Pomocná data V. PAF'!O58</f>
        <v>0</v>
      </c>
      <c r="O118" s="146">
        <f>'Pomocná data III.PÚ M'!O6*'Pomocná data V. PAF'!P58</f>
        <v>0</v>
      </c>
      <c r="P118" s="146">
        <f>'Pomocná data III.PÚ M'!P6*'Pomocná data V. PAF'!Q58</f>
        <v>0</v>
      </c>
      <c r="Q118" s="146">
        <f>'Pomocná data III.PÚ M'!Q6*'Pomocná data V. PAF'!R58</f>
        <v>0.1908753389</v>
      </c>
      <c r="R118" s="146"/>
      <c r="S118" s="146">
        <f>'Pomocná data III.PÚ M'!S6*'Pomocná data V. PAF'!T58</f>
        <v>0</v>
      </c>
      <c r="T118" s="146">
        <f>'Pomocná data III.PÚ M'!T6*'Pomocná data V. PAF'!U58</f>
        <v>0.08068973571</v>
      </c>
      <c r="U118" s="146">
        <f>'Pomocná data III.PÚ M'!U6*'Pomocná data V. PAF'!V58</f>
        <v>0</v>
      </c>
      <c r="V118" s="146">
        <f t="shared" si="29"/>
        <v>2.072581596</v>
      </c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</row>
    <row r="119" ht="15.75" customHeight="1">
      <c r="A119" s="388" t="s">
        <v>450</v>
      </c>
      <c r="B119" s="146">
        <f>'Pomocná data III.PÚ M'!B7*'Pomocná data V. PAF'!C59</f>
        <v>0</v>
      </c>
      <c r="C119" s="146">
        <f>'Pomocná data III.PÚ M'!C7*'Pomocná data V. PAF'!D59</f>
        <v>0</v>
      </c>
      <c r="D119" s="146">
        <f>'Pomocná data III.PÚ M'!D7*'Pomocná data V. PAF'!E59</f>
        <v>1.279742535</v>
      </c>
      <c r="E119" s="146">
        <f>'Pomocná data III.PÚ M'!E7*'Pomocná data V. PAF'!F59</f>
        <v>0.3848354925</v>
      </c>
      <c r="F119" s="146">
        <f>'Pomocná data III.PÚ M'!F7*'Pomocná data V. PAF'!G59</f>
        <v>0</v>
      </c>
      <c r="G119" s="146">
        <f>'Pomocná data III.PÚ M'!G7*'Pomocná data V. PAF'!H59</f>
        <v>0.03394648251</v>
      </c>
      <c r="H119" s="146">
        <f>'Pomocná data III.PÚ M'!H7*'Pomocná data V. PAF'!I59</f>
        <v>0.1535786632</v>
      </c>
      <c r="I119" s="146">
        <f>'Pomocná data III.PÚ M'!I7*'Pomocná data V. PAF'!J59</f>
        <v>3</v>
      </c>
      <c r="J119" s="146">
        <f>'Pomocná data III.PÚ M'!J7*'Pomocná data V. PAF'!K59</f>
        <v>0</v>
      </c>
      <c r="K119" s="146">
        <f>'Pomocná data III.PÚ M'!K7*'Pomocná data V. PAF'!L59</f>
        <v>0</v>
      </c>
      <c r="L119" s="146">
        <f>'Pomocná data III.PÚ M'!L7*'Pomocná data V. PAF'!M59</f>
        <v>0</v>
      </c>
      <c r="M119" s="146"/>
      <c r="N119" s="146">
        <f>'Pomocná data III.PÚ M'!N7*'Pomocná data V. PAF'!O59</f>
        <v>0</v>
      </c>
      <c r="O119" s="146">
        <f>'Pomocná data III.PÚ M'!O7*'Pomocná data V. PAF'!P59</f>
        <v>0</v>
      </c>
      <c r="P119" s="146">
        <f>'Pomocná data III.PÚ M'!P7*'Pomocná data V. PAF'!Q59</f>
        <v>0</v>
      </c>
      <c r="Q119" s="146">
        <f>'Pomocná data III.PÚ M'!Q7*'Pomocná data V. PAF'!R59</f>
        <v>0.2639345533</v>
      </c>
      <c r="R119" s="146"/>
      <c r="S119" s="146">
        <f>'Pomocná data III.PÚ M'!S7*'Pomocná data V. PAF'!T59</f>
        <v>0</v>
      </c>
      <c r="T119" s="146">
        <f>'Pomocná data III.PÚ M'!T7*'Pomocná data V. PAF'!U59</f>
        <v>0.1132750856</v>
      </c>
      <c r="U119" s="146">
        <f>'Pomocná data III.PÚ M'!U7*'Pomocná data V. PAF'!V59</f>
        <v>0.2309012955</v>
      </c>
      <c r="V119" s="146">
        <f t="shared" si="29"/>
        <v>5.460214107</v>
      </c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</row>
    <row r="120" ht="15.75" customHeight="1">
      <c r="A120" s="388" t="s">
        <v>451</v>
      </c>
      <c r="B120" s="146">
        <f>'Pomocná data III.PÚ M'!B8*'Pomocná data V. PAF'!C60</f>
        <v>0.09279789131</v>
      </c>
      <c r="C120" s="146">
        <f>'Pomocná data III.PÚ M'!C8*'Pomocná data V. PAF'!D60</f>
        <v>0</v>
      </c>
      <c r="D120" s="146">
        <f>'Pomocná data III.PÚ M'!D8*'Pomocná data V. PAF'!E60</f>
        <v>1.527535094</v>
      </c>
      <c r="E120" s="146">
        <f>'Pomocná data III.PÚ M'!E8*'Pomocná data V. PAF'!F60</f>
        <v>2.812520156</v>
      </c>
      <c r="F120" s="146">
        <f>'Pomocná data III.PÚ M'!F8*'Pomocná data V. PAF'!G60</f>
        <v>0</v>
      </c>
      <c r="G120" s="146">
        <f>'Pomocná data III.PÚ M'!G8*'Pomocná data V. PAF'!H60</f>
        <v>0.07854639946</v>
      </c>
      <c r="H120" s="146">
        <f>'Pomocná data III.PÚ M'!H8*'Pomocná data V. PAF'!I60</f>
        <v>0.3498753767</v>
      </c>
      <c r="I120" s="146">
        <f>'Pomocná data III.PÚ M'!I8*'Pomocná data V. PAF'!J60</f>
        <v>3</v>
      </c>
      <c r="J120" s="146">
        <f>'Pomocná data III.PÚ M'!J8*'Pomocná data V. PAF'!K60</f>
        <v>0.02711273189</v>
      </c>
      <c r="K120" s="146">
        <f>'Pomocná data III.PÚ M'!K8*'Pomocná data V. PAF'!L60</f>
        <v>0</v>
      </c>
      <c r="L120" s="146">
        <f>'Pomocná data III.PÚ M'!L8*'Pomocná data V. PAF'!M60</f>
        <v>0.8055417386</v>
      </c>
      <c r="M120" s="146"/>
      <c r="N120" s="146">
        <f>'Pomocná data III.PÚ M'!N8*'Pomocná data V. PAF'!O60</f>
        <v>0.366295607</v>
      </c>
      <c r="O120" s="146">
        <f>'Pomocná data III.PÚ M'!O8*'Pomocná data V. PAF'!P60</f>
        <v>0</v>
      </c>
      <c r="P120" s="146">
        <f>'Pomocná data III.PÚ M'!P8*'Pomocná data V. PAF'!Q60</f>
        <v>0.3872147709</v>
      </c>
      <c r="Q120" s="146">
        <f>'Pomocná data III.PÚ M'!Q8*'Pomocná data V. PAF'!R60</f>
        <v>0.8299897754</v>
      </c>
      <c r="R120" s="146"/>
      <c r="S120" s="146">
        <f>'Pomocná data III.PÚ M'!S8*'Pomocná data V. PAF'!T60</f>
        <v>0.1119411606</v>
      </c>
      <c r="T120" s="146">
        <f>'Pomocná data III.PÚ M'!T8*'Pomocná data V. PAF'!U60</f>
        <v>0.5188106796</v>
      </c>
      <c r="U120" s="146">
        <f>'Pomocná data III.PÚ M'!U8*'Pomocná data V. PAF'!V60</f>
        <v>0.3125022396</v>
      </c>
      <c r="V120" s="146">
        <f t="shared" si="29"/>
        <v>11.22068362</v>
      </c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98"/>
      <c r="AZ120" s="198"/>
      <c r="BA120" s="198"/>
      <c r="BB120" s="198"/>
      <c r="BC120" s="198"/>
      <c r="BD120" s="198"/>
      <c r="BE120" s="198"/>
      <c r="BF120" s="198"/>
      <c r="BG120" s="198"/>
      <c r="BH120" s="198"/>
      <c r="BI120" s="198"/>
      <c r="BJ120" s="198"/>
      <c r="BK120" s="198"/>
      <c r="BL120" s="198"/>
      <c r="BM120" s="198"/>
      <c r="BN120" s="198"/>
      <c r="BO120" s="198"/>
      <c r="BP120" s="198"/>
      <c r="BQ120" s="198"/>
    </row>
    <row r="121" ht="15.75" customHeight="1">
      <c r="A121" s="388" t="s">
        <v>452</v>
      </c>
      <c r="B121" s="146">
        <f>'Pomocná data III.PÚ M'!B9*'Pomocná data V. PAF'!C61</f>
        <v>0</v>
      </c>
      <c r="C121" s="146">
        <f>'Pomocná data III.PÚ M'!C9*'Pomocná data V. PAF'!D61</f>
        <v>0</v>
      </c>
      <c r="D121" s="146">
        <f>'Pomocná data III.PÚ M'!D9*'Pomocná data V. PAF'!E61</f>
        <v>2.763947378</v>
      </c>
      <c r="E121" s="146">
        <f>'Pomocná data III.PÚ M'!E9*'Pomocná data V. PAF'!F61</f>
        <v>9.735189495</v>
      </c>
      <c r="F121" s="146">
        <f>'Pomocná data III.PÚ M'!F9*'Pomocná data V. PAF'!G61</f>
        <v>0</v>
      </c>
      <c r="G121" s="146">
        <f>'Pomocná data III.PÚ M'!G9*'Pomocná data V. PAF'!H61</f>
        <v>0.2052795996</v>
      </c>
      <c r="H121" s="146">
        <f>'Pomocná data III.PÚ M'!H9*'Pomocná data V. PAF'!I61</f>
        <v>0.9050153719</v>
      </c>
      <c r="I121" s="146">
        <f>'Pomocná data III.PÚ M'!I9*'Pomocná data V. PAF'!J61</f>
        <v>0</v>
      </c>
      <c r="J121" s="146">
        <f>'Pomocná data III.PÚ M'!J9*'Pomocná data V. PAF'!K61</f>
        <v>0</v>
      </c>
      <c r="K121" s="146">
        <f>'Pomocná data III.PÚ M'!K9*'Pomocná data V. PAF'!L61</f>
        <v>0</v>
      </c>
      <c r="L121" s="146">
        <f>'Pomocná data III.PÚ M'!L9*'Pomocná data V. PAF'!M61</f>
        <v>1.825748177</v>
      </c>
      <c r="M121" s="146"/>
      <c r="N121" s="146">
        <f>'Pomocná data III.PÚ M'!N9*'Pomocná data V. PAF'!O61</f>
        <v>1.137268919</v>
      </c>
      <c r="O121" s="146">
        <f>'Pomocná data III.PÚ M'!O9*'Pomocná data V. PAF'!P61</f>
        <v>0</v>
      </c>
      <c r="P121" s="146">
        <f>'Pomocná data III.PÚ M'!P9*'Pomocná data V. PAF'!Q61</f>
        <v>1.800977406</v>
      </c>
      <c r="Q121" s="146">
        <f>'Pomocná data III.PÚ M'!Q9*'Pomocná data V. PAF'!R61</f>
        <v>1.519557005</v>
      </c>
      <c r="R121" s="146"/>
      <c r="S121" s="146">
        <f>'Pomocná data III.PÚ M'!S9*'Pomocná data V. PAF'!T61</f>
        <v>0.1324337672</v>
      </c>
      <c r="T121" s="146">
        <f>'Pomocná data III.PÚ M'!T9*'Pomocná data V. PAF'!U61</f>
        <v>0.8569282764</v>
      </c>
      <c r="U121" s="146">
        <f>'Pomocná data III.PÚ M'!U9*'Pomocná data V. PAF'!V61</f>
        <v>0.6084493435</v>
      </c>
      <c r="V121" s="146">
        <f t="shared" si="29"/>
        <v>21.49079474</v>
      </c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98"/>
      <c r="AZ121" s="198"/>
      <c r="BA121" s="198"/>
      <c r="BB121" s="198"/>
      <c r="BC121" s="198"/>
      <c r="BD121" s="198"/>
      <c r="BE121" s="198"/>
      <c r="BF121" s="198"/>
      <c r="BG121" s="198"/>
      <c r="BH121" s="198"/>
      <c r="BI121" s="198"/>
      <c r="BJ121" s="198"/>
      <c r="BK121" s="198"/>
      <c r="BL121" s="198"/>
      <c r="BM121" s="198"/>
      <c r="BN121" s="198"/>
      <c r="BO121" s="198"/>
      <c r="BP121" s="198"/>
      <c r="BQ121" s="198"/>
    </row>
    <row r="122" ht="15.75" customHeight="1">
      <c r="A122" s="388" t="s">
        <v>453</v>
      </c>
      <c r="B122" s="146">
        <f>'Pomocná data III.PÚ M'!B10*'Pomocná data V. PAF'!C62</f>
        <v>0</v>
      </c>
      <c r="C122" s="146">
        <f>'Pomocná data III.PÚ M'!C10*'Pomocná data V. PAF'!D62</f>
        <v>0</v>
      </c>
      <c r="D122" s="146">
        <f>'Pomocná data III.PÚ M'!D10*'Pomocná data V. PAF'!E62</f>
        <v>5.306997897</v>
      </c>
      <c r="E122" s="146">
        <f>'Pomocná data III.PÚ M'!E10*'Pomocná data V. PAF'!F62</f>
        <v>18.72844132</v>
      </c>
      <c r="F122" s="146">
        <f>'Pomocná data III.PÚ M'!F10*'Pomocná data V. PAF'!G62</f>
        <v>0</v>
      </c>
      <c r="G122" s="146">
        <f>'Pomocná data III.PÚ M'!G10*'Pomocná data V. PAF'!H62</f>
        <v>0.2163012727</v>
      </c>
      <c r="H122" s="146">
        <f>'Pomocná data III.PÚ M'!H10*'Pomocná data V. PAF'!I62</f>
        <v>0.9438746632</v>
      </c>
      <c r="I122" s="146">
        <f>'Pomocná data III.PÚ M'!I10*'Pomocná data V. PAF'!J62</f>
        <v>3</v>
      </c>
      <c r="J122" s="146">
        <f>'Pomocná data III.PÚ M'!J10*'Pomocná data V. PAF'!K62</f>
        <v>0.03742717008</v>
      </c>
      <c r="K122" s="146">
        <f>'Pomocná data III.PÚ M'!K10*'Pomocná data V. PAF'!L62</f>
        <v>0</v>
      </c>
      <c r="L122" s="146">
        <f>'Pomocná data III.PÚ M'!L10*'Pomocná data V. PAF'!M62</f>
        <v>4.382120109</v>
      </c>
      <c r="M122" s="146"/>
      <c r="N122" s="146">
        <f>'Pomocná data III.PÚ M'!N10*'Pomocná data V. PAF'!O62</f>
        <v>2.584590446</v>
      </c>
      <c r="O122" s="146">
        <f>'Pomocná data III.PÚ M'!O10*'Pomocná data V. PAF'!P62</f>
        <v>0</v>
      </c>
      <c r="P122" s="146">
        <f>'Pomocná data III.PÚ M'!P10*'Pomocná data V. PAF'!Q62</f>
        <v>4.087807239</v>
      </c>
      <c r="Q122" s="146">
        <f>'Pomocná data III.PÚ M'!Q10*'Pomocná data V. PAF'!R62</f>
        <v>2.827305231</v>
      </c>
      <c r="R122" s="146"/>
      <c r="S122" s="146">
        <f>'Pomocná data III.PÚ M'!S10*'Pomocná data V. PAF'!T62</f>
        <v>0.2547788332</v>
      </c>
      <c r="T122" s="146">
        <f>'Pomocná data III.PÚ M'!T10*'Pomocná data V. PAF'!U62</f>
        <v>2.325153374</v>
      </c>
      <c r="U122" s="146">
        <f>'Pomocná data III.PÚ M'!U10*'Pomocná data V. PAF'!V62</f>
        <v>0.8323751696</v>
      </c>
      <c r="V122" s="146">
        <f t="shared" si="29"/>
        <v>45.52717272</v>
      </c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8"/>
      <c r="BB122" s="198"/>
      <c r="BC122" s="198"/>
      <c r="BD122" s="198"/>
      <c r="BE122" s="198"/>
      <c r="BF122" s="198"/>
      <c r="BG122" s="198"/>
      <c r="BH122" s="198"/>
      <c r="BI122" s="198"/>
      <c r="BJ122" s="198"/>
      <c r="BK122" s="198"/>
      <c r="BL122" s="198"/>
      <c r="BM122" s="198"/>
      <c r="BN122" s="198"/>
      <c r="BO122" s="198"/>
      <c r="BP122" s="198"/>
      <c r="BQ122" s="198"/>
    </row>
    <row r="123" ht="15.75" customHeight="1">
      <c r="A123" s="388" t="s">
        <v>454</v>
      </c>
      <c r="B123" s="146">
        <f>'Pomocná data III.PÚ M'!B11*'Pomocná data V. PAF'!C63</f>
        <v>0.1452768606</v>
      </c>
      <c r="C123" s="146">
        <f>'Pomocná data III.PÚ M'!C11*'Pomocná data V. PAF'!D63</f>
        <v>0</v>
      </c>
      <c r="D123" s="146">
        <f>'Pomocná data III.PÚ M'!D11*'Pomocná data V. PAF'!E63</f>
        <v>8.101594808</v>
      </c>
      <c r="E123" s="146">
        <f>'Pomocná data III.PÚ M'!E11*'Pomocná data V. PAF'!F63</f>
        <v>43.78982356</v>
      </c>
      <c r="F123" s="146">
        <f>'Pomocná data III.PÚ M'!F11*'Pomocná data V. PAF'!G63</f>
        <v>0</v>
      </c>
      <c r="G123" s="146">
        <f>'Pomocná data III.PÚ M'!G11*'Pomocná data V. PAF'!H63</f>
        <v>0.248136175</v>
      </c>
      <c r="H123" s="146">
        <f>'Pomocná data III.PÚ M'!H11*'Pomocná data V. PAF'!I63</f>
        <v>1.07106982</v>
      </c>
      <c r="I123" s="146">
        <f>'Pomocná data III.PÚ M'!I11*'Pomocná data V. PAF'!J63</f>
        <v>3</v>
      </c>
      <c r="J123" s="146">
        <f>'Pomocná data III.PÚ M'!J11*'Pomocná data V. PAF'!K63</f>
        <v>0.04299485481</v>
      </c>
      <c r="K123" s="146">
        <f>'Pomocná data III.PÚ M'!K11*'Pomocná data V. PAF'!L63</f>
        <v>0</v>
      </c>
      <c r="L123" s="146">
        <f>'Pomocná data III.PÚ M'!L11*'Pomocná data V. PAF'!M63</f>
        <v>4.799323129</v>
      </c>
      <c r="M123" s="146"/>
      <c r="N123" s="146">
        <f>'Pomocná data III.PÚ M'!N11*'Pomocná data V. PAF'!O63</f>
        <v>6.170724421</v>
      </c>
      <c r="O123" s="146">
        <f>'Pomocná data III.PÚ M'!O11*'Pomocná data V. PAF'!P63</f>
        <v>0</v>
      </c>
      <c r="P123" s="146">
        <f>'Pomocná data III.PÚ M'!P11*'Pomocná data V. PAF'!Q63</f>
        <v>8.791450122</v>
      </c>
      <c r="Q123" s="146">
        <f>'Pomocná data III.PÚ M'!Q11*'Pomocná data V. PAF'!R63</f>
        <v>4.238211888</v>
      </c>
      <c r="R123" s="146"/>
      <c r="S123" s="146">
        <f>'Pomocná data III.PÚ M'!S11*'Pomocná data V. PAF'!T63</f>
        <v>0.5819861649</v>
      </c>
      <c r="T123" s="146">
        <f>'Pomocná data III.PÚ M'!T11*'Pomocná data V. PAF'!U63</f>
        <v>4.734152533</v>
      </c>
      <c r="U123" s="146">
        <f>'Pomocná data III.PÚ M'!U11*'Pomocná data V. PAF'!V63</f>
        <v>5.004551264</v>
      </c>
      <c r="V123" s="146">
        <f t="shared" si="29"/>
        <v>90.7192956</v>
      </c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98"/>
      <c r="BB123" s="198"/>
      <c r="BC123" s="198"/>
      <c r="BD123" s="198"/>
      <c r="BE123" s="198"/>
      <c r="BF123" s="198"/>
      <c r="BG123" s="198"/>
      <c r="BH123" s="198"/>
      <c r="BI123" s="198"/>
      <c r="BJ123" s="198"/>
      <c r="BK123" s="198"/>
      <c r="BL123" s="198"/>
      <c r="BM123" s="198"/>
      <c r="BN123" s="198"/>
      <c r="BO123" s="198"/>
      <c r="BP123" s="198"/>
      <c r="BQ123" s="198"/>
    </row>
    <row r="124" ht="15.75" customHeight="1">
      <c r="A124" s="388" t="s">
        <v>455</v>
      </c>
      <c r="B124" s="146">
        <f>'Pomocná data III.PÚ M'!B12*'Pomocná data V. PAF'!C64</f>
        <v>0.1471771318</v>
      </c>
      <c r="C124" s="146">
        <f>'Pomocná data III.PÚ M'!C12*'Pomocná data V. PAF'!D64</f>
        <v>0</v>
      </c>
      <c r="D124" s="146">
        <f>'Pomocná data III.PÚ M'!D12*'Pomocná data V. PAF'!E64</f>
        <v>28.18809717</v>
      </c>
      <c r="E124" s="146">
        <f>'Pomocná data III.PÚ M'!E12*'Pomocná data V. PAF'!F64</f>
        <v>70.87498895</v>
      </c>
      <c r="F124" s="146">
        <f>'Pomocná data III.PÚ M'!F12*'Pomocná data V. PAF'!G64</f>
        <v>0</v>
      </c>
      <c r="G124" s="146">
        <f>'Pomocná data III.PÚ M'!G12*'Pomocná data V. PAF'!H64</f>
        <v>0.3269025488</v>
      </c>
      <c r="H124" s="146">
        <f>'Pomocná data III.PÚ M'!H12*'Pomocná data V. PAF'!I64</f>
        <v>1.409466791</v>
      </c>
      <c r="I124" s="146">
        <f>'Pomocná data III.PÚ M'!I12*'Pomocná data V. PAF'!J64</f>
        <v>3</v>
      </c>
      <c r="J124" s="146">
        <f>'Pomocná data III.PÚ M'!J12*'Pomocná data V. PAF'!K64</f>
        <v>0</v>
      </c>
      <c r="K124" s="146">
        <f>'Pomocná data III.PÚ M'!K12*'Pomocná data V. PAF'!L64</f>
        <v>0</v>
      </c>
      <c r="L124" s="146">
        <f>'Pomocná data III.PÚ M'!L12*'Pomocná data V. PAF'!M64</f>
        <v>7.819683861</v>
      </c>
      <c r="M124" s="146"/>
      <c r="N124" s="146">
        <f>'Pomocná data III.PÚ M'!N12*'Pomocná data V. PAF'!O64</f>
        <v>8.992978359</v>
      </c>
      <c r="O124" s="146">
        <f>'Pomocná data III.PÚ M'!O12*'Pomocná data V. PAF'!P64</f>
        <v>0</v>
      </c>
      <c r="P124" s="146">
        <f>'Pomocná data III.PÚ M'!P12*'Pomocná data V. PAF'!Q64</f>
        <v>13.33351485</v>
      </c>
      <c r="Q124" s="146">
        <f>'Pomocná data III.PÚ M'!Q12*'Pomocná data V. PAF'!R64</f>
        <v>7.500671505</v>
      </c>
      <c r="R124" s="146"/>
      <c r="S124" s="146">
        <f>'Pomocná data III.PÚ M'!S12*'Pomocná data V. PAF'!T64</f>
        <v>0.8253273671</v>
      </c>
      <c r="T124" s="146">
        <f>'Pomocná data III.PÚ M'!T12*'Pomocná data V. PAF'!U64</f>
        <v>7.31285142</v>
      </c>
      <c r="U124" s="146">
        <f>'Pomocná data III.PÚ M'!U12*'Pomocná data V. PAF'!V64</f>
        <v>7.277342616</v>
      </c>
      <c r="V124" s="146">
        <f t="shared" si="29"/>
        <v>157.0090026</v>
      </c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198"/>
      <c r="AV124" s="198"/>
      <c r="AW124" s="198"/>
      <c r="AX124" s="198"/>
      <c r="AY124" s="198"/>
      <c r="AZ124" s="198"/>
      <c r="BA124" s="198"/>
      <c r="BB124" s="198"/>
      <c r="BC124" s="198"/>
      <c r="BD124" s="198"/>
      <c r="BE124" s="198"/>
      <c r="BF124" s="198"/>
      <c r="BG124" s="198"/>
      <c r="BH124" s="198"/>
      <c r="BI124" s="198"/>
      <c r="BJ124" s="198"/>
      <c r="BK124" s="198"/>
      <c r="BL124" s="198"/>
      <c r="BM124" s="198"/>
      <c r="BN124" s="198"/>
      <c r="BO124" s="198"/>
      <c r="BP124" s="198"/>
      <c r="BQ124" s="198"/>
    </row>
    <row r="125" ht="15.75" customHeight="1">
      <c r="A125" s="388" t="s">
        <v>456</v>
      </c>
      <c r="B125" s="146">
        <f>'Pomocná data III.PÚ M'!B13*'Pomocná data V. PAF'!C65</f>
        <v>0.1471771318</v>
      </c>
      <c r="C125" s="146">
        <f>'Pomocná data III.PÚ M'!C13*'Pomocná data V. PAF'!D65</f>
        <v>0</v>
      </c>
      <c r="D125" s="146">
        <f>'Pomocná data III.PÚ M'!D13*'Pomocná data V. PAF'!E65</f>
        <v>58.88180298</v>
      </c>
      <c r="E125" s="146">
        <f>'Pomocná data III.PÚ M'!E13*'Pomocná data V. PAF'!F65</f>
        <v>142.5409934</v>
      </c>
      <c r="F125" s="146">
        <f>'Pomocná data III.PÚ M'!F13*'Pomocná data V. PAF'!G65</f>
        <v>0</v>
      </c>
      <c r="G125" s="146">
        <f>'Pomocná data III.PÚ M'!G13*'Pomocná data V. PAF'!H65</f>
        <v>0.4274879484</v>
      </c>
      <c r="H125" s="146">
        <f>'Pomocná data III.PÚ M'!H13*'Pomocná data V. PAF'!I65</f>
        <v>1.84314888</v>
      </c>
      <c r="I125" s="146">
        <f>'Pomocná data III.PÚ M'!I13*'Pomocná data V. PAF'!J65</f>
        <v>9</v>
      </c>
      <c r="J125" s="146">
        <f>'Pomocná data III.PÚ M'!J13*'Pomocná data V. PAF'!K65</f>
        <v>0.08715533043</v>
      </c>
      <c r="K125" s="146">
        <f>'Pomocná data III.PÚ M'!K13*'Pomocná data V. PAF'!L65</f>
        <v>0</v>
      </c>
      <c r="L125" s="146">
        <f>'Pomocná data III.PÚ M'!L13*'Pomocná data V. PAF'!M65</f>
        <v>12.28807464</v>
      </c>
      <c r="M125" s="146"/>
      <c r="N125" s="146">
        <f>'Pomocná data III.PÚ M'!N13*'Pomocná data V. PAF'!O65</f>
        <v>13.21417228</v>
      </c>
      <c r="O125" s="146">
        <f>'Pomocná data III.PÚ M'!O13*'Pomocná data V. PAF'!P65</f>
        <v>0</v>
      </c>
      <c r="P125" s="146">
        <f>'Pomocná data III.PÚ M'!P13*'Pomocná data V. PAF'!Q65</f>
        <v>28.79266251</v>
      </c>
      <c r="Q125" s="146">
        <f>'Pomocná data III.PÚ M'!Q13*'Pomocná data V. PAF'!R65</f>
        <v>16.07286751</v>
      </c>
      <c r="R125" s="146"/>
      <c r="S125" s="146">
        <f>'Pomocná data III.PÚ M'!S13*'Pomocná data V. PAF'!T65</f>
        <v>1.886462553</v>
      </c>
      <c r="T125" s="146">
        <f>'Pomocná data III.PÚ M'!T13*'Pomocná data V. PAF'!U65</f>
        <v>14.95071846</v>
      </c>
      <c r="U125" s="146">
        <f>'Pomocná data III.PÚ M'!U13*'Pomocná data V. PAF'!V65</f>
        <v>14.08007593</v>
      </c>
      <c r="V125" s="146">
        <f t="shared" si="29"/>
        <v>314.2127996</v>
      </c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198"/>
      <c r="AV125" s="198"/>
      <c r="AW125" s="198"/>
      <c r="AX125" s="198"/>
      <c r="AY125" s="198"/>
      <c r="AZ125" s="198"/>
      <c r="BA125" s="198"/>
      <c r="BB125" s="198"/>
      <c r="BC125" s="198"/>
      <c r="BD125" s="198"/>
      <c r="BE125" s="198"/>
      <c r="BF125" s="198"/>
      <c r="BG125" s="198"/>
      <c r="BH125" s="198"/>
      <c r="BI125" s="198"/>
      <c r="BJ125" s="198"/>
      <c r="BK125" s="198"/>
      <c r="BL125" s="198"/>
      <c r="BM125" s="198"/>
      <c r="BN125" s="198"/>
      <c r="BO125" s="198"/>
      <c r="BP125" s="198"/>
      <c r="BQ125" s="198"/>
    </row>
    <row r="126" ht="15.75" customHeight="1">
      <c r="A126" s="389" t="s">
        <v>457</v>
      </c>
      <c r="B126" s="390">
        <f>'Pomocná data III.PÚ M'!B14*'Pomocná data V. PAF'!C66</f>
        <v>0.3069525916</v>
      </c>
      <c r="C126" s="390">
        <f>'Pomocná data III.PÚ M'!C14*'Pomocná data V. PAF'!D66</f>
        <v>0</v>
      </c>
      <c r="D126" s="390">
        <f>'Pomocná data III.PÚ M'!D14*'Pomocná data V. PAF'!E66</f>
        <v>123.647872</v>
      </c>
      <c r="E126" s="390">
        <f>'Pomocná data III.PÚ M'!E14*'Pomocná data V. PAF'!F66</f>
        <v>169.9250447</v>
      </c>
      <c r="F126" s="390">
        <f>'Pomocná data III.PÚ M'!F14*'Pomocná data V. PAF'!G66</f>
        <v>0</v>
      </c>
      <c r="G126" s="390">
        <f>'Pomocná data III.PÚ M'!G14*'Pomocná data V. PAF'!H66</f>
        <v>0.801951076</v>
      </c>
      <c r="H126" s="390">
        <f>'Pomocná data III.PÚ M'!H14*'Pomocná data V. PAF'!I66</f>
        <v>3.524564691</v>
      </c>
      <c r="I126" s="390">
        <f>'Pomocná data III.PÚ M'!I14*'Pomocná data V. PAF'!J66</f>
        <v>7</v>
      </c>
      <c r="J126" s="390">
        <f>'Pomocná data III.PÚ M'!J14*'Pomocná data V. PAF'!K66</f>
        <v>0.1578010678</v>
      </c>
      <c r="K126" s="390">
        <f>'Pomocná data III.PÚ M'!K14*'Pomocná data V. PAF'!L66</f>
        <v>0</v>
      </c>
      <c r="L126" s="390">
        <f>'Pomocná data III.PÚ M'!L14*'Pomocná data V. PAF'!M66</f>
        <v>16.67001405</v>
      </c>
      <c r="M126" s="390"/>
      <c r="N126" s="390">
        <f>'Pomocná data III.PÚ M'!N14*'Pomocná data V. PAF'!O66</f>
        <v>17.92039017</v>
      </c>
      <c r="O126" s="390">
        <f>'Pomocná data III.PÚ M'!O14*'Pomocná data V. PAF'!P66</f>
        <v>0</v>
      </c>
      <c r="P126" s="390">
        <f>'Pomocná data III.PÚ M'!P14*'Pomocná data V. PAF'!Q66</f>
        <v>32.97848555</v>
      </c>
      <c r="Q126" s="390">
        <f>'Pomocná data III.PÚ M'!Q14*'Pomocná data V. PAF'!R66</f>
        <v>29.36489321</v>
      </c>
      <c r="R126" s="390"/>
      <c r="S126" s="390">
        <f>'Pomocná data III.PÚ M'!S14*'Pomocná data V. PAF'!T66</f>
        <v>2.587820115</v>
      </c>
      <c r="T126" s="390">
        <f>'Pomocná data III.PÚ M'!T14*'Pomocná data V. PAF'!U66</f>
        <v>17.0935979</v>
      </c>
      <c r="U126" s="390">
        <f>'Pomocná data III.PÚ M'!U14*'Pomocná data V. PAF'!V66</f>
        <v>19.28947483</v>
      </c>
      <c r="V126" s="390">
        <f t="shared" si="29"/>
        <v>441.268862</v>
      </c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98"/>
      <c r="AZ126" s="198"/>
      <c r="BA126" s="198"/>
      <c r="BB126" s="198"/>
      <c r="BC126" s="198"/>
      <c r="BD126" s="198"/>
      <c r="BE126" s="198"/>
      <c r="BF126" s="198"/>
      <c r="BG126" s="198"/>
      <c r="BH126" s="198"/>
      <c r="BI126" s="198"/>
      <c r="BJ126" s="198"/>
      <c r="BK126" s="198"/>
      <c r="BL126" s="198"/>
      <c r="BM126" s="198"/>
      <c r="BN126" s="198"/>
      <c r="BO126" s="198"/>
      <c r="BP126" s="198"/>
      <c r="BQ126" s="198"/>
    </row>
    <row r="127" ht="15.75" customHeight="1">
      <c r="A127" s="389" t="s">
        <v>458</v>
      </c>
      <c r="B127" s="390">
        <f>'Pomocná data III.PÚ M'!B15*'Pomocná data V. PAF'!C67</f>
        <v>0.2086432782</v>
      </c>
      <c r="C127" s="390">
        <f>'Pomocná data III.PÚ M'!C15*'Pomocná data V. PAF'!D67</f>
        <v>0</v>
      </c>
      <c r="D127" s="390">
        <f>'Pomocná data III.PÚ M'!D15*'Pomocná data V. PAF'!E67</f>
        <v>155.8734453</v>
      </c>
      <c r="E127" s="390">
        <f>'Pomocná data III.PÚ M'!E15*'Pomocná data V. PAF'!F67</f>
        <v>203.8370991</v>
      </c>
      <c r="F127" s="390">
        <f>'Pomocná data III.PÚ M'!F15*'Pomocná data V. PAF'!G67</f>
        <v>0</v>
      </c>
      <c r="G127" s="390">
        <f>'Pomocná data III.PÚ M'!G15*'Pomocná data V. PAF'!H67</f>
        <v>0.7785621668</v>
      </c>
      <c r="H127" s="390">
        <f>'Pomocná data III.PÚ M'!H15*'Pomocná data V. PAF'!I67</f>
        <v>3.444014305</v>
      </c>
      <c r="I127" s="390">
        <f>'Pomocná data III.PÚ M'!I15*'Pomocná data V. PAF'!J67</f>
        <v>5</v>
      </c>
      <c r="J127" s="390">
        <f>'Pomocná data III.PÚ M'!J15*'Pomocná data V. PAF'!K67</f>
        <v>0.2037692023</v>
      </c>
      <c r="K127" s="390">
        <f>'Pomocná data III.PÚ M'!K15*'Pomocná data V. PAF'!L67</f>
        <v>0.935173629</v>
      </c>
      <c r="L127" s="390">
        <f>'Pomocná data III.PÚ M'!L15*'Pomocná data V. PAF'!M67</f>
        <v>19.33402468</v>
      </c>
      <c r="M127" s="390"/>
      <c r="N127" s="390">
        <f>'Pomocná data III.PÚ M'!N15*'Pomocná data V. PAF'!O67</f>
        <v>19.8086732</v>
      </c>
      <c r="O127" s="390">
        <f>'Pomocná data III.PÚ M'!O15*'Pomocná data V. PAF'!P67</f>
        <v>0</v>
      </c>
      <c r="P127" s="390">
        <f>'Pomocná data III.PÚ M'!P15*'Pomocná data V. PAF'!Q67</f>
        <v>32.67188303</v>
      </c>
      <c r="Q127" s="390">
        <f>'Pomocná data III.PÚ M'!Q15*'Pomocná data V. PAF'!R67</f>
        <v>29.92173591</v>
      </c>
      <c r="R127" s="390"/>
      <c r="S127" s="390">
        <f>'Pomocná data III.PÚ M'!S15*'Pomocná data V. PAF'!T67</f>
        <v>1.844176748</v>
      </c>
      <c r="T127" s="390">
        <f>'Pomocná data III.PÚ M'!T15*'Pomocná data V. PAF'!U67</f>
        <v>21.28933092</v>
      </c>
      <c r="U127" s="390">
        <f>'Pomocná data III.PÚ M'!U15*'Pomocná data V. PAF'!V67</f>
        <v>24.71104275</v>
      </c>
      <c r="V127" s="390">
        <f t="shared" si="29"/>
        <v>519.8615743</v>
      </c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  <c r="AT127" s="198"/>
      <c r="AU127" s="198"/>
      <c r="AV127" s="198"/>
      <c r="AW127" s="198"/>
      <c r="AX127" s="198"/>
      <c r="AY127" s="198"/>
      <c r="AZ127" s="198"/>
      <c r="BA127" s="198"/>
      <c r="BB127" s="198"/>
      <c r="BC127" s="198"/>
      <c r="BD127" s="198"/>
      <c r="BE127" s="198"/>
      <c r="BF127" s="198"/>
      <c r="BG127" s="198"/>
      <c r="BH127" s="198"/>
      <c r="BI127" s="198"/>
      <c r="BJ127" s="198"/>
      <c r="BK127" s="198"/>
      <c r="BL127" s="198"/>
      <c r="BM127" s="198"/>
      <c r="BN127" s="198"/>
      <c r="BO127" s="198"/>
      <c r="BP127" s="198"/>
      <c r="BQ127" s="198"/>
    </row>
    <row r="128" ht="15.75" customHeight="1">
      <c r="A128" s="389" t="s">
        <v>459</v>
      </c>
      <c r="B128" s="390">
        <f>SUM('Pomocná data III.PÚ M'!B16:B20)*'Pomocná data V. PAF'!C68</f>
        <v>0.7700626289</v>
      </c>
      <c r="C128" s="390">
        <f>SUM('Pomocná data III.PÚ M'!C16:C20)*'Pomocná data V. PAF'!D68</f>
        <v>0.6124914448</v>
      </c>
      <c r="D128" s="390">
        <f>SUM('Pomocná data III.PÚ M'!D16:D20)*'Pomocná data V. PAF'!E68</f>
        <v>428.1566359</v>
      </c>
      <c r="E128" s="390">
        <f>SUM('Pomocná data III.PÚ M'!E16:E20)*'Pomocná data V. PAF'!F68</f>
        <v>627.3552066</v>
      </c>
      <c r="F128" s="390">
        <f>SUM('Pomocná data III.PÚ M'!F16:F20)*'Pomocná data V. PAF'!G68</f>
        <v>0</v>
      </c>
      <c r="G128" s="390">
        <f>SUM('Pomocná data III.PÚ M'!G16:G20)*'Pomocná data V. PAF'!H68</f>
        <v>1.171199243</v>
      </c>
      <c r="H128" s="390">
        <f>SUM('Pomocná data III.PÚ M'!H16:H20)*'Pomocná data V. PAF'!I68</f>
        <v>5.249507809</v>
      </c>
      <c r="I128" s="390">
        <f>SUM('Pomocná data III.PÚ M'!I16:I20)*'Pomocná data V. PAF'!J68</f>
        <v>0</v>
      </c>
      <c r="J128" s="390">
        <f>SUM('Pomocná data III.PÚ M'!J16:J20)*'Pomocná data V. PAF'!K68</f>
        <v>0.6011427664</v>
      </c>
      <c r="K128" s="390">
        <f>SUM('Pomocná data III.PÚ M'!K16:K20)*'Pomocná data V. PAF'!L68</f>
        <v>0</v>
      </c>
      <c r="L128" s="390">
        <f>SUM('Pomocná data III.PÚ M'!L16:L20)*'Pomocná data V. PAF'!M68</f>
        <v>42.45563755</v>
      </c>
      <c r="M128" s="390"/>
      <c r="N128" s="390">
        <f>SUM('Pomocná data III.PÚ M'!N16:N20)*'Pomocná data V. PAF'!O68</f>
        <v>28.19353288</v>
      </c>
      <c r="O128" s="390">
        <f>SUM('Pomocná data III.PÚ M'!O16:O20)*'Pomocná data V. PAF'!P68</f>
        <v>0</v>
      </c>
      <c r="P128" s="390">
        <f>SUM('Pomocná data III.PÚ M'!P16:P20)*'Pomocná data V. PAF'!Q68</f>
        <v>37.95200212</v>
      </c>
      <c r="Q128" s="390">
        <f>SUM('Pomocná data III.PÚ M'!Q16:Q20)*'Pomocná data V. PAF'!R68</f>
        <v>56.43899998</v>
      </c>
      <c r="R128" s="390"/>
      <c r="S128" s="390">
        <f>SUM('Pomocná data III.PÚ M'!S16:S20)*'Pomocná data V. PAF'!T68</f>
        <v>4.216389195</v>
      </c>
      <c r="T128" s="390">
        <f>SUM('Pomocná data III.PÚ M'!T16:T20)*'Pomocná data V. PAF'!U68</f>
        <v>66.8606745</v>
      </c>
      <c r="U128" s="390">
        <f>SUM('Pomocná data III.PÚ M'!U16:U20)*'Pomocná data V. PAF'!V68</f>
        <v>78.82801762</v>
      </c>
      <c r="V128" s="390">
        <f t="shared" si="29"/>
        <v>1378.8615</v>
      </c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8"/>
      <c r="AU128" s="198"/>
      <c r="AV128" s="198"/>
      <c r="AW128" s="198"/>
      <c r="AX128" s="198"/>
      <c r="AY128" s="198"/>
      <c r="AZ128" s="198"/>
      <c r="BA128" s="198"/>
      <c r="BB128" s="198"/>
      <c r="BC128" s="198"/>
      <c r="BD128" s="198"/>
      <c r="BE128" s="198"/>
      <c r="BF128" s="198"/>
      <c r="BG128" s="198"/>
      <c r="BH128" s="198"/>
      <c r="BI128" s="198"/>
      <c r="BJ128" s="198"/>
      <c r="BK128" s="198"/>
      <c r="BL128" s="198"/>
      <c r="BM128" s="198"/>
      <c r="BN128" s="198"/>
      <c r="BO128" s="198"/>
      <c r="BP128" s="198"/>
      <c r="BQ128" s="198"/>
    </row>
    <row r="129" ht="15.75" customHeight="1">
      <c r="A129" s="391" t="s">
        <v>471</v>
      </c>
      <c r="B129" s="392">
        <f t="shared" ref="B129:L129" si="30">SUM(B116:B125)</f>
        <v>0.5324290154</v>
      </c>
      <c r="C129" s="392">
        <f t="shared" si="30"/>
        <v>0</v>
      </c>
      <c r="D129" s="392">
        <f t="shared" si="30"/>
        <v>107.0812247</v>
      </c>
      <c r="E129" s="392">
        <f t="shared" si="30"/>
        <v>289.0332221</v>
      </c>
      <c r="F129" s="392">
        <f t="shared" si="30"/>
        <v>0</v>
      </c>
      <c r="G129" s="392">
        <f t="shared" si="30"/>
        <v>1.575913365</v>
      </c>
      <c r="H129" s="392">
        <f t="shared" si="30"/>
        <v>6.85675467</v>
      </c>
      <c r="I129" s="392">
        <f t="shared" si="30"/>
        <v>24</v>
      </c>
      <c r="J129" s="392">
        <f t="shared" si="30"/>
        <v>0.2034643494</v>
      </c>
      <c r="K129" s="392">
        <f t="shared" si="30"/>
        <v>0</v>
      </c>
      <c r="L129" s="392">
        <f t="shared" si="30"/>
        <v>32.3897395</v>
      </c>
      <c r="M129" s="392"/>
      <c r="N129" s="392">
        <f t="shared" ref="N129:Q129" si="31">SUM(N116:N125)</f>
        <v>32.54444537</v>
      </c>
      <c r="O129" s="392">
        <f t="shared" si="31"/>
        <v>0</v>
      </c>
      <c r="P129" s="392">
        <f t="shared" si="31"/>
        <v>57.1936269</v>
      </c>
      <c r="Q129" s="392">
        <f t="shared" si="31"/>
        <v>33.5678297</v>
      </c>
      <c r="R129" s="392"/>
      <c r="S129" s="392">
        <f t="shared" ref="S129:V129" si="32">SUM(S116:S125)</f>
        <v>3.792929846</v>
      </c>
      <c r="T129" s="392">
        <f t="shared" si="32"/>
        <v>30.97581531</v>
      </c>
      <c r="U129" s="392">
        <f t="shared" si="32"/>
        <v>28.34619786</v>
      </c>
      <c r="V129" s="392">
        <f t="shared" si="32"/>
        <v>648.0935927</v>
      </c>
      <c r="W129" s="13"/>
      <c r="X129" s="198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  <c r="AT129" s="198"/>
      <c r="AU129" s="198"/>
      <c r="AV129" s="198"/>
      <c r="AW129" s="198"/>
      <c r="AX129" s="198"/>
      <c r="AY129" s="198"/>
      <c r="AZ129" s="198"/>
      <c r="BA129" s="198"/>
      <c r="BB129" s="198"/>
      <c r="BC129" s="198"/>
      <c r="BD129" s="198"/>
      <c r="BE129" s="198"/>
      <c r="BF129" s="198"/>
      <c r="BG129" s="198"/>
      <c r="BH129" s="198"/>
      <c r="BI129" s="198"/>
      <c r="BJ129" s="198"/>
      <c r="BK129" s="198"/>
      <c r="BL129" s="198"/>
      <c r="BM129" s="198"/>
      <c r="BN129" s="198"/>
      <c r="BO129" s="198"/>
      <c r="BP129" s="198"/>
      <c r="BQ129" s="198"/>
    </row>
    <row r="130" ht="15.75" customHeight="1">
      <c r="A130" s="391" t="s">
        <v>472</v>
      </c>
      <c r="B130" s="393">
        <f t="shared" ref="B130:L130" si="33">SUM(B126:B128)</f>
        <v>1.285658499</v>
      </c>
      <c r="C130" s="393">
        <f t="shared" si="33"/>
        <v>0.6124914448</v>
      </c>
      <c r="D130" s="393">
        <f t="shared" si="33"/>
        <v>707.6779532</v>
      </c>
      <c r="E130" s="393">
        <f t="shared" si="33"/>
        <v>1001.11735</v>
      </c>
      <c r="F130" s="393">
        <f t="shared" si="33"/>
        <v>0</v>
      </c>
      <c r="G130" s="393">
        <f t="shared" si="33"/>
        <v>2.751712486</v>
      </c>
      <c r="H130" s="393">
        <f t="shared" si="33"/>
        <v>12.21808681</v>
      </c>
      <c r="I130" s="393">
        <f t="shared" si="33"/>
        <v>12</v>
      </c>
      <c r="J130" s="393">
        <f t="shared" si="33"/>
        <v>0.9627130366</v>
      </c>
      <c r="K130" s="393">
        <f t="shared" si="33"/>
        <v>0.935173629</v>
      </c>
      <c r="L130" s="393">
        <f t="shared" si="33"/>
        <v>78.45967629</v>
      </c>
      <c r="M130" s="393"/>
      <c r="N130" s="393">
        <f t="shared" ref="N130:Q130" si="34">SUM(N126:N128)</f>
        <v>65.92259625</v>
      </c>
      <c r="O130" s="393">
        <f t="shared" si="34"/>
        <v>0</v>
      </c>
      <c r="P130" s="393">
        <f t="shared" si="34"/>
        <v>103.6023707</v>
      </c>
      <c r="Q130" s="393">
        <f t="shared" si="34"/>
        <v>115.7256291</v>
      </c>
      <c r="R130" s="393"/>
      <c r="S130" s="393">
        <f t="shared" ref="S130:V130" si="35">SUM(S126:S128)</f>
        <v>8.648386058</v>
      </c>
      <c r="T130" s="393">
        <f t="shared" si="35"/>
        <v>105.2436033</v>
      </c>
      <c r="U130" s="393">
        <f t="shared" si="35"/>
        <v>122.8285352</v>
      </c>
      <c r="V130" s="392">
        <f t="shared" si="35"/>
        <v>2339.991937</v>
      </c>
      <c r="W130" s="13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8"/>
      <c r="AV130" s="198"/>
      <c r="AW130" s="198"/>
      <c r="AX130" s="198"/>
      <c r="AY130" s="198"/>
      <c r="AZ130" s="198"/>
      <c r="BA130" s="198"/>
      <c r="BB130" s="198"/>
      <c r="BC130" s="198"/>
      <c r="BD130" s="198"/>
      <c r="BE130" s="198"/>
      <c r="BF130" s="198"/>
      <c r="BG130" s="198"/>
      <c r="BH130" s="198"/>
      <c r="BI130" s="198"/>
      <c r="BJ130" s="198"/>
      <c r="BK130" s="198"/>
      <c r="BL130" s="198"/>
      <c r="BM130" s="198"/>
      <c r="BN130" s="198"/>
      <c r="BO130" s="198"/>
      <c r="BP130" s="198"/>
      <c r="BQ130" s="198"/>
    </row>
    <row r="131" ht="15.75" customHeight="1">
      <c r="A131" s="198"/>
      <c r="B131" s="198"/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  <c r="AA131" s="198"/>
      <c r="AB131" s="198"/>
      <c r="AC131" s="198"/>
      <c r="AD131" s="198"/>
      <c r="AE131" s="198"/>
      <c r="AF131" s="198"/>
      <c r="AG131" s="198"/>
      <c r="AH131" s="198"/>
      <c r="AI131" s="198"/>
      <c r="AJ131" s="198"/>
      <c r="AK131" s="198"/>
      <c r="AL131" s="198"/>
      <c r="AM131" s="198"/>
      <c r="AN131" s="198"/>
      <c r="AO131" s="198"/>
      <c r="AP131" s="198"/>
      <c r="AQ131" s="198"/>
      <c r="AR131" s="198"/>
      <c r="AS131" s="198"/>
      <c r="AT131" s="198"/>
      <c r="AU131" s="198"/>
      <c r="AV131" s="198"/>
      <c r="AW131" s="198"/>
      <c r="AX131" s="198"/>
      <c r="AY131" s="198"/>
      <c r="AZ131" s="198"/>
      <c r="BA131" s="198"/>
      <c r="BB131" s="198"/>
      <c r="BC131" s="198"/>
      <c r="BD131" s="198"/>
      <c r="BE131" s="198"/>
      <c r="BF131" s="198"/>
      <c r="BG131" s="198"/>
      <c r="BH131" s="198"/>
      <c r="BI131" s="198"/>
      <c r="BJ131" s="198"/>
      <c r="BK131" s="198"/>
      <c r="BL131" s="198"/>
      <c r="BM131" s="198"/>
      <c r="BN131" s="198"/>
      <c r="BO131" s="198"/>
      <c r="BP131" s="198"/>
      <c r="BQ131" s="198"/>
    </row>
    <row r="132" ht="15.75" customHeight="1">
      <c r="A132" s="218" t="s">
        <v>420</v>
      </c>
      <c r="B132" s="219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1"/>
      <c r="X132" s="221"/>
      <c r="Y132" s="221"/>
      <c r="Z132" s="221"/>
      <c r="AA132" s="221"/>
      <c r="AB132" s="221"/>
      <c r="AC132" s="221"/>
      <c r="AD132" s="221"/>
      <c r="AE132" s="221"/>
      <c r="AF132" s="221"/>
      <c r="AG132" s="221"/>
      <c r="AH132" s="221"/>
      <c r="AI132" s="221"/>
      <c r="AJ132" s="221"/>
      <c r="AK132" s="221"/>
      <c r="AL132" s="221"/>
      <c r="AM132" s="221"/>
      <c r="AN132" s="221"/>
      <c r="AO132" s="221"/>
      <c r="AP132" s="221"/>
      <c r="AQ132" s="221"/>
      <c r="AR132" s="221"/>
      <c r="AS132" s="221"/>
      <c r="AT132" s="221"/>
      <c r="AU132" s="221"/>
      <c r="AV132" s="221"/>
      <c r="AW132" s="221"/>
      <c r="AX132" s="221"/>
      <c r="AY132" s="221"/>
      <c r="AZ132" s="221"/>
      <c r="BA132" s="221"/>
      <c r="BB132" s="221"/>
      <c r="BC132" s="221"/>
      <c r="BD132" s="221"/>
      <c r="BE132" s="221"/>
      <c r="BF132" s="221"/>
      <c r="BG132" s="221"/>
      <c r="BH132" s="221"/>
      <c r="BI132" s="221"/>
      <c r="BJ132" s="221"/>
      <c r="BK132" s="221"/>
      <c r="BL132" s="221"/>
      <c r="BM132" s="221"/>
      <c r="BN132" s="221"/>
      <c r="BO132" s="221"/>
      <c r="BP132" s="221"/>
      <c r="BQ132" s="221"/>
    </row>
    <row r="133" ht="15.75" customHeight="1">
      <c r="A133" s="13"/>
      <c r="B133" s="198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198"/>
      <c r="AM133" s="198"/>
      <c r="AN133" s="198"/>
      <c r="AO133" s="198"/>
      <c r="AP133" s="198"/>
      <c r="AQ133" s="198"/>
      <c r="AR133" s="198"/>
      <c r="AS133" s="198"/>
      <c r="AT133" s="198"/>
      <c r="AU133" s="198"/>
      <c r="AV133" s="198"/>
      <c r="AW133" s="198"/>
      <c r="AX133" s="198"/>
      <c r="AY133" s="198"/>
      <c r="AZ133" s="198"/>
      <c r="BA133" s="198"/>
      <c r="BB133" s="198"/>
      <c r="BC133" s="198"/>
      <c r="BD133" s="198"/>
      <c r="BE133" s="198"/>
      <c r="BF133" s="198"/>
      <c r="BG133" s="198"/>
      <c r="BH133" s="198"/>
      <c r="BI133" s="198"/>
      <c r="BJ133" s="198"/>
      <c r="BK133" s="198"/>
      <c r="BL133" s="198"/>
      <c r="BM133" s="198"/>
      <c r="BN133" s="198"/>
      <c r="BO133" s="198"/>
      <c r="BP133" s="198"/>
      <c r="BQ133" s="198"/>
    </row>
    <row r="134" ht="15.75" customHeight="1">
      <c r="A134" s="386" t="s">
        <v>284</v>
      </c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8"/>
      <c r="AX134" s="198"/>
      <c r="AY134" s="198"/>
      <c r="AZ134" s="198"/>
      <c r="BA134" s="198"/>
      <c r="BB134" s="198"/>
      <c r="BC134" s="198"/>
      <c r="BD134" s="198"/>
      <c r="BE134" s="198"/>
      <c r="BF134" s="198"/>
      <c r="BG134" s="198"/>
      <c r="BH134" s="198"/>
      <c r="BI134" s="198"/>
      <c r="BJ134" s="198"/>
      <c r="BK134" s="198"/>
      <c r="BL134" s="198"/>
      <c r="BM134" s="198"/>
      <c r="BN134" s="198"/>
      <c r="BO134" s="198"/>
      <c r="BP134" s="198"/>
      <c r="BQ134" s="198"/>
    </row>
    <row r="135" ht="15.75" customHeight="1">
      <c r="A135" s="236" t="s">
        <v>468</v>
      </c>
      <c r="B135" s="387" t="s">
        <v>288</v>
      </c>
      <c r="C135" s="387" t="s">
        <v>405</v>
      </c>
      <c r="D135" s="387" t="s">
        <v>469</v>
      </c>
      <c r="E135" s="387" t="s">
        <v>294</v>
      </c>
      <c r="F135" s="387" t="s">
        <v>296</v>
      </c>
      <c r="G135" s="387" t="s">
        <v>298</v>
      </c>
      <c r="H135" s="387" t="s">
        <v>300</v>
      </c>
      <c r="I135" s="387" t="s">
        <v>89</v>
      </c>
      <c r="J135" s="387" t="s">
        <v>303</v>
      </c>
      <c r="K135" s="387" t="s">
        <v>470</v>
      </c>
      <c r="L135" s="387" t="s">
        <v>307</v>
      </c>
      <c r="M135" s="387" t="s">
        <v>406</v>
      </c>
      <c r="N135" s="387" t="s">
        <v>311</v>
      </c>
      <c r="O135" s="387" t="s">
        <v>313</v>
      </c>
      <c r="P135" s="387" t="s">
        <v>315</v>
      </c>
      <c r="Q135" s="387" t="s">
        <v>407</v>
      </c>
      <c r="R135" s="387" t="s">
        <v>319</v>
      </c>
      <c r="S135" s="387" t="s">
        <v>321</v>
      </c>
      <c r="T135" s="387" t="s">
        <v>323</v>
      </c>
      <c r="U135" s="387" t="s">
        <v>408</v>
      </c>
      <c r="V135" s="198"/>
      <c r="W135" s="198"/>
      <c r="X135" s="198"/>
      <c r="Y135" s="198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8"/>
      <c r="AV135" s="198"/>
      <c r="AW135" s="198"/>
      <c r="AX135" s="198"/>
      <c r="AY135" s="198"/>
      <c r="AZ135" s="198"/>
      <c r="BA135" s="198"/>
      <c r="BB135" s="198"/>
      <c r="BC135" s="198"/>
      <c r="BD135" s="198"/>
      <c r="BE135" s="198"/>
      <c r="BF135" s="198"/>
      <c r="BG135" s="198"/>
      <c r="BH135" s="198"/>
      <c r="BI135" s="198"/>
      <c r="BJ135" s="198"/>
      <c r="BK135" s="198"/>
      <c r="BL135" s="198"/>
      <c r="BM135" s="198"/>
      <c r="BN135" s="198"/>
      <c r="BO135" s="198"/>
      <c r="BP135" s="198"/>
      <c r="BQ135" s="198"/>
    </row>
    <row r="136" ht="15.75" customHeight="1">
      <c r="A136" s="388" t="s">
        <v>447</v>
      </c>
      <c r="B136" s="146">
        <f>'Pomocná data II.PÚ Ž'!B4*'Pomocná data V. PAF'!C121</f>
        <v>0</v>
      </c>
      <c r="C136" s="146">
        <f>'Pomocná data II.PÚ Ž'!C4*'Pomocná data V. PAF'!D121</f>
        <v>0</v>
      </c>
      <c r="D136" s="146">
        <f>'Pomocná data II.PÚ Ž'!D4*'Pomocná data V. PAF'!E121</f>
        <v>0</v>
      </c>
      <c r="E136" s="146">
        <f>'Pomocná data II.PÚ Ž'!E4*'Pomocná data V. PAF'!F121</f>
        <v>0</v>
      </c>
      <c r="F136" s="146">
        <f>'Pomocná data II.PÚ Ž'!F4*'Pomocná data V. PAF'!G121</f>
        <v>0</v>
      </c>
      <c r="G136" s="146">
        <f>'Pomocná data II.PÚ Ž'!G4*'Pomocná data V. PAF'!H121</f>
        <v>0</v>
      </c>
      <c r="H136" s="146">
        <f>'Pomocná data II.PÚ Ž'!H4*'Pomocná data V. PAF'!I121</f>
        <v>0</v>
      </c>
      <c r="I136" s="146">
        <f>'Pomocná data II.PÚ Ž'!I4*'Pomocná data V. PAF'!J121</f>
        <v>0</v>
      </c>
      <c r="J136" s="146">
        <f>'Pomocná data II.PÚ Ž'!J4*'Pomocná data V. PAF'!K121</f>
        <v>0</v>
      </c>
      <c r="K136" s="146">
        <f>'Pomocná data II.PÚ Ž'!K4*'Pomocná data V. PAF'!L121</f>
        <v>0</v>
      </c>
      <c r="L136" s="146">
        <f>'Pomocná data II.PÚ Ž'!L4*'Pomocná data V. PAF'!M121</f>
        <v>0</v>
      </c>
      <c r="M136" s="146">
        <f>'Pomocná data II.PÚ Ž'!M4*'Pomocná data V. PAF'!N121</f>
        <v>0</v>
      </c>
      <c r="N136" s="146">
        <f>'Pomocná data II.PÚ Ž'!N4*'Pomocná data V. PAF'!O121</f>
        <v>0</v>
      </c>
      <c r="O136" s="146">
        <f>'Pomocná data II.PÚ Ž'!O4*'Pomocná data V. PAF'!P121</f>
        <v>0</v>
      </c>
      <c r="P136" s="146">
        <f>'Pomocná data II.PÚ Ž'!P4*'Pomocná data V. PAF'!Q121</f>
        <v>0</v>
      </c>
      <c r="Q136" s="146">
        <f>'Pomocná data II.PÚ Ž'!Q4*'Pomocná data V. PAF'!R121</f>
        <v>0</v>
      </c>
      <c r="R136" s="146">
        <f>'Pomocná data II.PÚ Ž'!R4*'Pomocná data V. PAF'!S121</f>
        <v>0</v>
      </c>
      <c r="S136" s="146">
        <f>'Pomocná data II.PÚ Ž'!S4*'Pomocná data V. PAF'!T121</f>
        <v>0</v>
      </c>
      <c r="T136" s="146">
        <f>'Pomocná data II.PÚ Ž'!T4*'Pomocná data V. PAF'!U121</f>
        <v>0.1553195524</v>
      </c>
      <c r="U136" s="146">
        <f>'Pomocná data II.PÚ Ž'!U4*'Pomocná data V. PAF'!V121</f>
        <v>0</v>
      </c>
      <c r="V136" s="146">
        <f t="shared" ref="V136:V148" si="36">SUM(B136:U136)</f>
        <v>0.1553195524</v>
      </c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8"/>
      <c r="AS136" s="198"/>
      <c r="AT136" s="198"/>
      <c r="AU136" s="198"/>
      <c r="AV136" s="198"/>
      <c r="AW136" s="198"/>
      <c r="AX136" s="198"/>
      <c r="AY136" s="198"/>
      <c r="AZ136" s="198"/>
      <c r="BA136" s="198"/>
      <c r="BB136" s="198"/>
      <c r="BC136" s="198"/>
      <c r="BD136" s="198"/>
      <c r="BE136" s="198"/>
      <c r="BF136" s="198"/>
      <c r="BG136" s="198"/>
      <c r="BH136" s="198"/>
      <c r="BI136" s="198"/>
      <c r="BJ136" s="198"/>
      <c r="BK136" s="198"/>
      <c r="BL136" s="198"/>
      <c r="BM136" s="198"/>
      <c r="BN136" s="198"/>
      <c r="BO136" s="198"/>
      <c r="BP136" s="198"/>
      <c r="BQ136" s="198"/>
    </row>
    <row r="137" ht="15.75" customHeight="1">
      <c r="A137" s="388" t="s">
        <v>448</v>
      </c>
      <c r="B137" s="146">
        <f>'Pomocná data II.PÚ Ž'!B5*'Pomocná data V. PAF'!C122</f>
        <v>0</v>
      </c>
      <c r="C137" s="146">
        <f>'Pomocná data II.PÚ Ž'!C5*'Pomocná data V. PAF'!D122</f>
        <v>0</v>
      </c>
      <c r="D137" s="146">
        <f>'Pomocná data II.PÚ Ž'!D5*'Pomocná data V. PAF'!E122</f>
        <v>0</v>
      </c>
      <c r="E137" s="146">
        <f>'Pomocná data II.PÚ Ž'!E5*'Pomocná data V. PAF'!F122</f>
        <v>0</v>
      </c>
      <c r="F137" s="146">
        <f>'Pomocná data II.PÚ Ž'!F5*'Pomocná data V. PAF'!G122</f>
        <v>0.09696148636</v>
      </c>
      <c r="G137" s="146">
        <f>'Pomocná data II.PÚ Ž'!G5*'Pomocná data V. PAF'!H122</f>
        <v>0</v>
      </c>
      <c r="H137" s="146">
        <f>'Pomocná data II.PÚ Ž'!H5*'Pomocná data V. PAF'!I122</f>
        <v>0.1186907331</v>
      </c>
      <c r="I137" s="146">
        <f>'Pomocná data II.PÚ Ž'!I5*'Pomocná data V. PAF'!J122</f>
        <v>0</v>
      </c>
      <c r="J137" s="146">
        <f>'Pomocná data II.PÚ Ž'!J5*'Pomocná data V. PAF'!K122</f>
        <v>0</v>
      </c>
      <c r="K137" s="146">
        <f>'Pomocná data II.PÚ Ž'!K5*'Pomocná data V. PAF'!L122</f>
        <v>0</v>
      </c>
      <c r="L137" s="146">
        <f>'Pomocná data II.PÚ Ž'!L5*'Pomocná data V. PAF'!M122</f>
        <v>0.5158091148</v>
      </c>
      <c r="M137" s="146">
        <f>'Pomocná data II.PÚ Ž'!M5*'Pomocná data V. PAF'!N122</f>
        <v>0</v>
      </c>
      <c r="N137" s="146">
        <f>'Pomocná data II.PÚ Ž'!N5*'Pomocná data V. PAF'!O122</f>
        <v>0</v>
      </c>
      <c r="O137" s="146">
        <f>'Pomocná data II.PÚ Ž'!O5*'Pomocná data V. PAF'!P122</f>
        <v>0</v>
      </c>
      <c r="P137" s="146">
        <f>'Pomocná data II.PÚ Ž'!P5*'Pomocná data V. PAF'!Q122</f>
        <v>0</v>
      </c>
      <c r="Q137" s="146">
        <f>'Pomocná data II.PÚ Ž'!Q5*'Pomocná data V. PAF'!R122</f>
        <v>0</v>
      </c>
      <c r="R137" s="146">
        <f>'Pomocná data II.PÚ Ž'!R5*'Pomocná data V. PAF'!S122</f>
        <v>0</v>
      </c>
      <c r="S137" s="146">
        <f>'Pomocná data II.PÚ Ž'!S5*'Pomocná data V. PAF'!T122</f>
        <v>0</v>
      </c>
      <c r="T137" s="146">
        <f>'Pomocná data II.PÚ Ž'!T5*'Pomocná data V. PAF'!U122</f>
        <v>0.2937621217</v>
      </c>
      <c r="U137" s="146">
        <f>'Pomocná data II.PÚ Ž'!U5*'Pomocná data V. PAF'!V122</f>
        <v>0</v>
      </c>
      <c r="V137" s="146">
        <f t="shared" si="36"/>
        <v>1.025223456</v>
      </c>
      <c r="W137" s="198"/>
      <c r="X137" s="198"/>
      <c r="Y137" s="198"/>
      <c r="Z137" s="198"/>
      <c r="AA137" s="198"/>
      <c r="AB137" s="198"/>
      <c r="AC137" s="198"/>
      <c r="AD137" s="198"/>
      <c r="AE137" s="198"/>
      <c r="AF137" s="198"/>
      <c r="AG137" s="198"/>
      <c r="AH137" s="198"/>
      <c r="AI137" s="198"/>
      <c r="AJ137" s="198"/>
      <c r="AK137" s="198"/>
      <c r="AL137" s="198"/>
      <c r="AM137" s="198"/>
      <c r="AN137" s="198"/>
      <c r="AO137" s="198"/>
      <c r="AP137" s="198"/>
      <c r="AQ137" s="198"/>
      <c r="AR137" s="198"/>
      <c r="AS137" s="198"/>
      <c r="AT137" s="198"/>
      <c r="AU137" s="198"/>
      <c r="AV137" s="198"/>
      <c r="AW137" s="198"/>
      <c r="AX137" s="198"/>
      <c r="AY137" s="198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P137" s="198"/>
      <c r="BQ137" s="198"/>
    </row>
    <row r="138" ht="15.75" customHeight="1">
      <c r="A138" s="388" t="s">
        <v>449</v>
      </c>
      <c r="B138" s="146">
        <f>'Pomocná data II.PÚ Ž'!B6*'Pomocná data V. PAF'!C123</f>
        <v>0.2975689092</v>
      </c>
      <c r="C138" s="146">
        <f>'Pomocná data II.PÚ Ž'!C6*'Pomocná data V. PAF'!D123</f>
        <v>0</v>
      </c>
      <c r="D138" s="146">
        <f>'Pomocná data II.PÚ Ž'!D6*'Pomocná data V. PAF'!E123</f>
        <v>0</v>
      </c>
      <c r="E138" s="146">
        <f>'Pomocná data II.PÚ Ž'!E6*'Pomocná data V. PAF'!F123</f>
        <v>0</v>
      </c>
      <c r="F138" s="146">
        <f>'Pomocná data II.PÚ Ž'!F6*'Pomocná data V. PAF'!G123</f>
        <v>0.1429951229</v>
      </c>
      <c r="G138" s="146">
        <f>'Pomocná data II.PÚ Ž'!G6*'Pomocná data V. PAF'!H123</f>
        <v>0</v>
      </c>
      <c r="H138" s="146">
        <f>'Pomocná data II.PÚ Ž'!H6*'Pomocná data V. PAF'!I123</f>
        <v>0</v>
      </c>
      <c r="I138" s="146">
        <f>'Pomocná data II.PÚ Ž'!I6*'Pomocná data V. PAF'!J123</f>
        <v>0</v>
      </c>
      <c r="J138" s="146">
        <f>'Pomocná data II.PÚ Ž'!J6*'Pomocná data V. PAF'!K123</f>
        <v>0</v>
      </c>
      <c r="K138" s="146">
        <f>'Pomocná data II.PÚ Ž'!K6*'Pomocná data V. PAF'!L123</f>
        <v>0</v>
      </c>
      <c r="L138" s="146">
        <f>'Pomocná data II.PÚ Ž'!L6*'Pomocná data V. PAF'!M123</f>
        <v>0.7119297971</v>
      </c>
      <c r="M138" s="146">
        <f>'Pomocná data II.PÚ Ž'!M6*'Pomocná data V. PAF'!N123</f>
        <v>0</v>
      </c>
      <c r="N138" s="146">
        <f>'Pomocná data II.PÚ Ž'!N6*'Pomocná data V. PAF'!O123</f>
        <v>0.4104309394</v>
      </c>
      <c r="O138" s="146">
        <f>'Pomocná data II.PÚ Ž'!O6*'Pomocná data V. PAF'!P123</f>
        <v>0.05406360969</v>
      </c>
      <c r="P138" s="146">
        <f>'Pomocná data II.PÚ Ž'!P6*'Pomocná data V. PAF'!Q123</f>
        <v>0</v>
      </c>
      <c r="Q138" s="146">
        <f>'Pomocná data II.PÚ Ž'!Q6*'Pomocná data V. PAF'!R123</f>
        <v>0</v>
      </c>
      <c r="R138" s="146">
        <f>'Pomocná data II.PÚ Ž'!R6*'Pomocná data V. PAF'!S123</f>
        <v>0.08746467668</v>
      </c>
      <c r="S138" s="146">
        <f>'Pomocná data II.PÚ Ž'!S6*'Pomocná data V. PAF'!T123</f>
        <v>0</v>
      </c>
      <c r="T138" s="146">
        <f>'Pomocná data II.PÚ Ž'!T6*'Pomocná data V. PAF'!U123</f>
        <v>0.4197206454</v>
      </c>
      <c r="U138" s="146">
        <f>'Pomocná data II.PÚ Ž'!U6*'Pomocná data V. PAF'!V123</f>
        <v>0</v>
      </c>
      <c r="V138" s="146">
        <f t="shared" si="36"/>
        <v>2.1241737</v>
      </c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  <c r="AT138" s="198"/>
      <c r="AU138" s="198"/>
      <c r="AV138" s="198"/>
      <c r="AW138" s="198"/>
      <c r="AX138" s="198"/>
      <c r="AY138" s="198"/>
      <c r="AZ138" s="198"/>
      <c r="BA138" s="198"/>
      <c r="BB138" s="198"/>
      <c r="BC138" s="198"/>
      <c r="BD138" s="198"/>
      <c r="BE138" s="198"/>
      <c r="BF138" s="198"/>
      <c r="BG138" s="198"/>
      <c r="BH138" s="198"/>
      <c r="BI138" s="198"/>
      <c r="BJ138" s="198"/>
      <c r="BK138" s="198"/>
      <c r="BL138" s="198"/>
      <c r="BM138" s="198"/>
      <c r="BN138" s="198"/>
      <c r="BO138" s="198"/>
      <c r="BP138" s="198"/>
      <c r="BQ138" s="198"/>
    </row>
    <row r="139" ht="15.75" customHeight="1">
      <c r="A139" s="388" t="s">
        <v>450</v>
      </c>
      <c r="B139" s="146">
        <f>'Pomocná data II.PÚ Ž'!B7*'Pomocná data V. PAF'!C124</f>
        <v>0</v>
      </c>
      <c r="C139" s="146">
        <f>'Pomocná data II.PÚ Ž'!C7*'Pomocná data V. PAF'!D124</f>
        <v>0</v>
      </c>
      <c r="D139" s="146">
        <f>'Pomocná data II.PÚ Ž'!D7*'Pomocná data V. PAF'!E124</f>
        <v>0</v>
      </c>
      <c r="E139" s="146">
        <f>'Pomocná data II.PÚ Ž'!E7*'Pomocná data V. PAF'!F124</f>
        <v>0.7007360439</v>
      </c>
      <c r="F139" s="146">
        <f>'Pomocná data II.PÚ Ž'!F7*'Pomocná data V. PAF'!G124</f>
        <v>0</v>
      </c>
      <c r="G139" s="146">
        <f>'Pomocná data II.PÚ Ž'!G7*'Pomocná data V. PAF'!H124</f>
        <v>0</v>
      </c>
      <c r="H139" s="146">
        <f>'Pomocná data II.PÚ Ž'!H7*'Pomocná data V. PAF'!I124</f>
        <v>0.2547815529</v>
      </c>
      <c r="I139" s="146">
        <f>'Pomocná data II.PÚ Ž'!I7*'Pomocná data V. PAF'!J124</f>
        <v>0</v>
      </c>
      <c r="J139" s="146">
        <f>'Pomocná data II.PÚ Ž'!J7*'Pomocná data V. PAF'!K124</f>
        <v>0.9278071855</v>
      </c>
      <c r="K139" s="146">
        <f>'Pomocná data II.PÚ Ž'!K7*'Pomocná data V. PAF'!L124</f>
        <v>0</v>
      </c>
      <c r="L139" s="146">
        <f>'Pomocná data II.PÚ Ž'!L7*'Pomocná data V. PAF'!M124</f>
        <v>0</v>
      </c>
      <c r="M139" s="146">
        <f>'Pomocná data II.PÚ Ž'!M7*'Pomocná data V. PAF'!N124</f>
        <v>0</v>
      </c>
      <c r="N139" s="146">
        <f>'Pomocná data II.PÚ Ž'!N7*'Pomocná data V. PAF'!O124</f>
        <v>0</v>
      </c>
      <c r="O139" s="146">
        <f>'Pomocná data II.PÚ Ž'!O7*'Pomocná data V. PAF'!P124</f>
        <v>0.2148084376</v>
      </c>
      <c r="P139" s="146">
        <f>'Pomocná data II.PÚ Ž'!P7*'Pomocná data V. PAF'!Q124</f>
        <v>0</v>
      </c>
      <c r="Q139" s="146">
        <f>'Pomocná data II.PÚ Ž'!Q7*'Pomocná data V. PAF'!R124</f>
        <v>0.276659921</v>
      </c>
      <c r="R139" s="146">
        <f>'Pomocná data II.PÚ Ž'!R7*'Pomocná data V. PAF'!S124</f>
        <v>0.1295997923</v>
      </c>
      <c r="S139" s="146">
        <f>'Pomocná data II.PÚ Ž'!S7*'Pomocná data V. PAF'!T124</f>
        <v>0.4750169237</v>
      </c>
      <c r="T139" s="146">
        <f>'Pomocná data II.PÚ Ž'!T7*'Pomocná data V. PAF'!U124</f>
        <v>0.5895188574</v>
      </c>
      <c r="U139" s="146">
        <f>'Pomocná data II.PÚ Ž'!U7*'Pomocná data V. PAF'!V124</f>
        <v>0.7525828329</v>
      </c>
      <c r="V139" s="146">
        <f t="shared" si="36"/>
        <v>4.321511547</v>
      </c>
      <c r="W139" s="198"/>
      <c r="X139" s="198"/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8"/>
      <c r="AO139" s="198"/>
      <c r="AP139" s="198"/>
      <c r="AQ139" s="198"/>
      <c r="AR139" s="198"/>
      <c r="AS139" s="198"/>
      <c r="AT139" s="198"/>
      <c r="AU139" s="198"/>
      <c r="AV139" s="198"/>
      <c r="AW139" s="198"/>
      <c r="AX139" s="198"/>
      <c r="AY139" s="198"/>
      <c r="AZ139" s="198"/>
      <c r="BA139" s="198"/>
      <c r="BB139" s="198"/>
      <c r="BC139" s="198"/>
      <c r="BD139" s="198"/>
      <c r="BE139" s="198"/>
      <c r="BF139" s="198"/>
      <c r="BG139" s="198"/>
      <c r="BH139" s="198"/>
      <c r="BI139" s="198"/>
      <c r="BJ139" s="198"/>
      <c r="BK139" s="198"/>
      <c r="BL139" s="198"/>
      <c r="BM139" s="198"/>
      <c r="BN139" s="198"/>
      <c r="BO139" s="198"/>
      <c r="BP139" s="198"/>
      <c r="BQ139" s="198"/>
    </row>
    <row r="140" ht="15.75" customHeight="1">
      <c r="A140" s="388" t="s">
        <v>451</v>
      </c>
      <c r="B140" s="146">
        <f>'Pomocná data II.PÚ Ž'!B8*'Pomocná data V. PAF'!C125</f>
        <v>0.6307060496</v>
      </c>
      <c r="C140" s="146">
        <f>'Pomocná data II.PÚ Ž'!C8*'Pomocná data V. PAF'!D125</f>
        <v>0</v>
      </c>
      <c r="D140" s="146">
        <f>'Pomocná data II.PÚ Ž'!D8*'Pomocná data V. PAF'!E125</f>
        <v>2.292246959</v>
      </c>
      <c r="E140" s="146">
        <f>'Pomocná data II.PÚ Ž'!E8*'Pomocná data V. PAF'!F125</f>
        <v>2.302171068</v>
      </c>
      <c r="F140" s="146">
        <f>'Pomocná data II.PÚ Ž'!F8*'Pomocná data V. PAF'!G125</f>
        <v>0.3238180196</v>
      </c>
      <c r="G140" s="146">
        <f>'Pomocná data II.PÚ Ž'!G8*'Pomocná data V. PAF'!H125</f>
        <v>0</v>
      </c>
      <c r="H140" s="146">
        <f>'Pomocná data II.PÚ Ž'!H8*'Pomocná data V. PAF'!I125</f>
        <v>0.3895640572</v>
      </c>
      <c r="I140" s="146">
        <f>'Pomocná data II.PÚ Ž'!I8*'Pomocná data V. PAF'!J125</f>
        <v>3</v>
      </c>
      <c r="J140" s="146">
        <f>'Pomocná data II.PÚ Ž'!J8*'Pomocná data V. PAF'!K125</f>
        <v>0</v>
      </c>
      <c r="K140" s="146">
        <f>'Pomocná data II.PÚ Ž'!K8*'Pomocná data V. PAF'!L125</f>
        <v>0</v>
      </c>
      <c r="L140" s="146">
        <f>'Pomocná data II.PÚ Ž'!L8*'Pomocná data V. PAF'!M125</f>
        <v>1.287882967</v>
      </c>
      <c r="M140" s="146">
        <f>'Pomocná data II.PÚ Ž'!M8*'Pomocná data V. PAF'!N125</f>
        <v>0</v>
      </c>
      <c r="N140" s="146">
        <f>'Pomocná data II.PÚ Ž'!N8*'Pomocná data V. PAF'!O125</f>
        <v>0.8310639836</v>
      </c>
      <c r="O140" s="146">
        <f>'Pomocná data II.PÚ Ž'!O8*'Pomocná data V. PAF'!P125</f>
        <v>0.807155852</v>
      </c>
      <c r="P140" s="146">
        <f>'Pomocná data II.PÚ Ž'!P8*'Pomocná data V. PAF'!Q125</f>
        <v>0.5845410628</v>
      </c>
      <c r="Q140" s="146">
        <f>'Pomocná data II.PÚ Ž'!Q8*'Pomocná data V. PAF'!R125</f>
        <v>0.8424807668</v>
      </c>
      <c r="R140" s="146">
        <f>'Pomocná data II.PÚ Ž'!R8*'Pomocná data V. PAF'!S125</f>
        <v>0.2030579899</v>
      </c>
      <c r="S140" s="146">
        <f>'Pomocná data II.PÚ Ž'!S8*'Pomocná data V. PAF'!T125</f>
        <v>0.6967370441</v>
      </c>
      <c r="T140" s="146">
        <f>'Pomocná data II.PÚ Ž'!T8*'Pomocná data V. PAF'!U125</f>
        <v>1.69352234</v>
      </c>
      <c r="U140" s="146">
        <f>'Pomocná data II.PÚ Ž'!U8*'Pomocná data V. PAF'!V125</f>
        <v>0</v>
      </c>
      <c r="V140" s="146">
        <f t="shared" si="36"/>
        <v>15.88494816</v>
      </c>
      <c r="W140" s="198"/>
      <c r="X140" s="198"/>
      <c r="Y140" s="198"/>
      <c r="Z140" s="198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98"/>
      <c r="AK140" s="198"/>
      <c r="AL140" s="198"/>
      <c r="AM140" s="198"/>
      <c r="AN140" s="198"/>
      <c r="AO140" s="198"/>
      <c r="AP140" s="198"/>
      <c r="AQ140" s="198"/>
      <c r="AR140" s="198"/>
      <c r="AS140" s="198"/>
      <c r="AT140" s="198"/>
      <c r="AU140" s="198"/>
      <c r="AV140" s="198"/>
      <c r="AW140" s="198"/>
      <c r="AX140" s="198"/>
      <c r="AY140" s="198"/>
      <c r="AZ140" s="198"/>
      <c r="BA140" s="198"/>
      <c r="BB140" s="198"/>
      <c r="BC140" s="198"/>
      <c r="BD140" s="198"/>
      <c r="BE140" s="198"/>
      <c r="BF140" s="198"/>
      <c r="BG140" s="198"/>
      <c r="BH140" s="198"/>
      <c r="BI140" s="198"/>
      <c r="BJ140" s="198"/>
      <c r="BK140" s="198"/>
      <c r="BL140" s="198"/>
      <c r="BM140" s="198"/>
      <c r="BN140" s="198"/>
      <c r="BO140" s="198"/>
      <c r="BP140" s="198"/>
      <c r="BQ140" s="198"/>
    </row>
    <row r="141" ht="15.75" customHeight="1">
      <c r="A141" s="388" t="s">
        <v>452</v>
      </c>
      <c r="B141" s="146">
        <f>'Pomocná data II.PÚ Ž'!B9*'Pomocná data V. PAF'!C126</f>
        <v>0</v>
      </c>
      <c r="C141" s="146">
        <f>'Pomocná data II.PÚ Ž'!C9*'Pomocná data V. PAF'!D126</f>
        <v>0</v>
      </c>
      <c r="D141" s="146">
        <f>'Pomocná data II.PÚ Ž'!D9*'Pomocná data V. PAF'!E126</f>
        <v>0</v>
      </c>
      <c r="E141" s="146">
        <f>'Pomocná data II.PÚ Ž'!E9*'Pomocná data V. PAF'!F126</f>
        <v>3.466400967</v>
      </c>
      <c r="F141" s="146">
        <f>'Pomocná data II.PÚ Ž'!F9*'Pomocná data V. PAF'!G126</f>
        <v>0.3474801061</v>
      </c>
      <c r="G141" s="146">
        <f>'Pomocná data II.PÚ Ž'!G9*'Pomocná data V. PAF'!H126</f>
        <v>0</v>
      </c>
      <c r="H141" s="146">
        <f>'Pomocná data II.PÚ Ž'!H9*'Pomocná data V. PAF'!I126</f>
        <v>0.8345625161</v>
      </c>
      <c r="I141" s="146">
        <f>'Pomocná data II.PÚ Ž'!I9*'Pomocná data V. PAF'!J126</f>
        <v>3</v>
      </c>
      <c r="J141" s="146">
        <f>'Pomocná data II.PÚ Ž'!J9*'Pomocná data V. PAF'!K126</f>
        <v>1.314085813</v>
      </c>
      <c r="K141" s="146">
        <f>'Pomocná data II.PÚ Ž'!K9*'Pomocná data V. PAF'!L126</f>
        <v>0</v>
      </c>
      <c r="L141" s="146">
        <f>'Pomocná data II.PÚ Ž'!L9*'Pomocná data V. PAF'!M126</f>
        <v>2.244242764</v>
      </c>
      <c r="M141" s="146">
        <f>'Pomocná data II.PÚ Ž'!M9*'Pomocná data V. PAF'!N126</f>
        <v>1.075607253</v>
      </c>
      <c r="N141" s="146">
        <f>'Pomocná data II.PÚ Ž'!N9*'Pomocná data V. PAF'!O126</f>
        <v>0.8796089056</v>
      </c>
      <c r="O141" s="146">
        <f>'Pomocná data II.PÚ Ž'!O9*'Pomocná data V. PAF'!P126</f>
        <v>2.199930028</v>
      </c>
      <c r="P141" s="146">
        <f>'Pomocná data II.PÚ Ž'!P9*'Pomocná data V. PAF'!Q126</f>
        <v>1.453248811</v>
      </c>
      <c r="Q141" s="146">
        <f>'Pomocná data II.PÚ Ž'!Q9*'Pomocná data V. PAF'!R126</f>
        <v>1.202192293</v>
      </c>
      <c r="R141" s="146">
        <f>'Pomocná data II.PÚ Ž'!R9*'Pomocná data V. PAF'!S126</f>
        <v>0.5829779344</v>
      </c>
      <c r="S141" s="146">
        <f>'Pomocná data II.PÚ Ž'!S9*'Pomocná data V. PAF'!T126</f>
        <v>0.7401129944</v>
      </c>
      <c r="T141" s="146">
        <f>'Pomocná data II.PÚ Ž'!T9*'Pomocná data V. PAF'!U126</f>
        <v>2.687532877</v>
      </c>
      <c r="U141" s="146">
        <f>'Pomocná data II.PÚ Ž'!U9*'Pomocná data V. PAF'!V126</f>
        <v>1.104804321</v>
      </c>
      <c r="V141" s="146">
        <f t="shared" si="36"/>
        <v>23.13278758</v>
      </c>
      <c r="W141" s="198"/>
      <c r="X141" s="198"/>
      <c r="Y141" s="198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  <c r="AT141" s="198"/>
      <c r="AU141" s="198"/>
      <c r="AV141" s="198"/>
      <c r="AW141" s="198"/>
      <c r="AX141" s="198"/>
      <c r="AY141" s="198"/>
      <c r="AZ141" s="198"/>
      <c r="BA141" s="198"/>
      <c r="BB141" s="198"/>
      <c r="BC141" s="198"/>
      <c r="BD141" s="198"/>
      <c r="BE141" s="198"/>
      <c r="BF141" s="198"/>
      <c r="BG141" s="198"/>
      <c r="BH141" s="198"/>
      <c r="BI141" s="198"/>
      <c r="BJ141" s="198"/>
      <c r="BK141" s="198"/>
      <c r="BL141" s="198"/>
      <c r="BM141" s="198"/>
      <c r="BN141" s="198"/>
      <c r="BO141" s="198"/>
      <c r="BP141" s="198"/>
      <c r="BQ141" s="198"/>
    </row>
    <row r="142" ht="15.75" customHeight="1">
      <c r="A142" s="388" t="s">
        <v>453</v>
      </c>
      <c r="B142" s="146">
        <f>'Pomocná data II.PÚ Ž'!B10*'Pomocná data V. PAF'!C127</f>
        <v>0</v>
      </c>
      <c r="C142" s="146">
        <f>'Pomocná data II.PÚ Ž'!C10*'Pomocná data V. PAF'!D127</f>
        <v>0</v>
      </c>
      <c r="D142" s="146">
        <f>'Pomocná data II.PÚ Ž'!D10*'Pomocná data V. PAF'!E127</f>
        <v>2.363400179</v>
      </c>
      <c r="E142" s="146">
        <f>'Pomocná data II.PÚ Ž'!E10*'Pomocná data V. PAF'!F127</f>
        <v>11.86965458</v>
      </c>
      <c r="F142" s="146">
        <f>'Pomocná data II.PÚ Ž'!F10*'Pomocná data V. PAF'!G127</f>
        <v>0.8526389743</v>
      </c>
      <c r="G142" s="146">
        <f>'Pomocná data II.PÚ Ž'!G10*'Pomocná data V. PAF'!H127</f>
        <v>0</v>
      </c>
      <c r="H142" s="146">
        <f>'Pomocná data II.PÚ Ž'!H10*'Pomocná data V. PAF'!I127</f>
        <v>0.4382256582</v>
      </c>
      <c r="I142" s="146">
        <f>'Pomocná data II.PÚ Ž'!I10*'Pomocná data V. PAF'!J127</f>
        <v>3</v>
      </c>
      <c r="J142" s="146">
        <f>'Pomocná data II.PÚ Ž'!J10*'Pomocná data V. PAF'!K127</f>
        <v>1.356403043</v>
      </c>
      <c r="K142" s="146">
        <f>'Pomocná data II.PÚ Ž'!K10*'Pomocná data V. PAF'!L127</f>
        <v>0</v>
      </c>
      <c r="L142" s="146">
        <f>'Pomocná data II.PÚ Ž'!L10*'Pomocná data V. PAF'!M127</f>
        <v>3.241109553</v>
      </c>
      <c r="M142" s="146">
        <f>'Pomocná data II.PÚ Ž'!M10*'Pomocná data V. PAF'!N127</f>
        <v>1.115325337</v>
      </c>
      <c r="N142" s="146">
        <f>'Pomocná data II.PÚ Ž'!N10*'Pomocná data V. PAF'!O127</f>
        <v>0.9155327551</v>
      </c>
      <c r="O142" s="146">
        <f>'Pomocná data II.PÚ Ž'!O10*'Pomocná data V. PAF'!P127</f>
        <v>3.000517038</v>
      </c>
      <c r="P142" s="146">
        <f>'Pomocná data II.PÚ Ž'!P10*'Pomocná data V. PAF'!Q127</f>
        <v>2.388758416</v>
      </c>
      <c r="Q142" s="146">
        <f>'Pomocná data II.PÚ Ž'!Q10*'Pomocná data V. PAF'!R127</f>
        <v>2.207994138</v>
      </c>
      <c r="R142" s="146">
        <f>'Pomocná data II.PÚ Ž'!R10*'Pomocná data V. PAF'!S127</f>
        <v>0.998744484</v>
      </c>
      <c r="S142" s="146">
        <f>'Pomocná data II.PÚ Ž'!S10*'Pomocná data V. PAF'!T127</f>
        <v>0.7724150733</v>
      </c>
      <c r="T142" s="146">
        <f>'Pomocná data II.PÚ Ž'!T10*'Pomocná data V. PAF'!U127</f>
        <v>1.553566197</v>
      </c>
      <c r="U142" s="146">
        <f>'Pomocná data II.PÚ Ž'!U10*'Pomocná data V. PAF'!V127</f>
        <v>1.144959081</v>
      </c>
      <c r="V142" s="146">
        <f t="shared" si="36"/>
        <v>37.21924451</v>
      </c>
      <c r="W142" s="198"/>
      <c r="X142" s="198"/>
      <c r="Y142" s="198"/>
      <c r="Z142" s="198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98"/>
      <c r="AK142" s="198"/>
      <c r="AL142" s="198"/>
      <c r="AM142" s="198"/>
      <c r="AN142" s="198"/>
      <c r="AO142" s="198"/>
      <c r="AP142" s="198"/>
      <c r="AQ142" s="198"/>
      <c r="AR142" s="198"/>
      <c r="AS142" s="198"/>
      <c r="AT142" s="198"/>
      <c r="AU142" s="198"/>
      <c r="AV142" s="198"/>
      <c r="AW142" s="198"/>
      <c r="AX142" s="198"/>
      <c r="AY142" s="198"/>
      <c r="AZ142" s="198"/>
      <c r="BA142" s="198"/>
      <c r="BB142" s="198"/>
      <c r="BC142" s="198"/>
      <c r="BD142" s="198"/>
      <c r="BE142" s="198"/>
      <c r="BF142" s="198"/>
      <c r="BG142" s="198"/>
      <c r="BH142" s="198"/>
      <c r="BI142" s="198"/>
      <c r="BJ142" s="198"/>
      <c r="BK142" s="198"/>
      <c r="BL142" s="198"/>
      <c r="BM142" s="198"/>
      <c r="BN142" s="198"/>
      <c r="BO142" s="198"/>
      <c r="BP142" s="198"/>
      <c r="BQ142" s="198"/>
    </row>
    <row r="143" ht="15.75" customHeight="1">
      <c r="A143" s="388" t="s">
        <v>454</v>
      </c>
      <c r="B143" s="146">
        <f>'Pomocná data II.PÚ Ž'!B11*'Pomocná data V. PAF'!C128</f>
        <v>0.7807039607</v>
      </c>
      <c r="C143" s="146">
        <f>'Pomocná data II.PÚ Ž'!C11*'Pomocná data V. PAF'!D128</f>
        <v>0</v>
      </c>
      <c r="D143" s="146">
        <f>'Pomocná data II.PÚ Ž'!D11*'Pomocná data V. PAF'!E128</f>
        <v>6.484845615</v>
      </c>
      <c r="E143" s="146">
        <f>'Pomocná data II.PÚ Ž'!E11*'Pomocná data V. PAF'!F128</f>
        <v>20.43884571</v>
      </c>
      <c r="F143" s="146">
        <f>'Pomocná data II.PÚ Ž'!F11*'Pomocná data V. PAF'!G128</f>
        <v>1.378567118</v>
      </c>
      <c r="G143" s="146">
        <f>'Pomocná data II.PÚ Ž'!G11*'Pomocná data V. PAF'!H128</f>
        <v>0</v>
      </c>
      <c r="H143" s="146">
        <f>'Pomocná data II.PÚ Ž'!H11*'Pomocná data V. PAF'!I128</f>
        <v>0.4941739544</v>
      </c>
      <c r="I143" s="146">
        <f>'Pomocná data II.PÚ Ž'!I11*'Pomocná data V. PAF'!J128</f>
        <v>3</v>
      </c>
      <c r="J143" s="146">
        <f>'Pomocná data II.PÚ Ž'!J11*'Pomocná data V. PAF'!K128</f>
        <v>1.462646145</v>
      </c>
      <c r="K143" s="146">
        <f>'Pomocná data II.PÚ Ž'!K11*'Pomocná data V. PAF'!L128</f>
        <v>0</v>
      </c>
      <c r="L143" s="146">
        <f>'Pomocná data II.PÚ Ž'!L11*'Pomocná data V. PAF'!M128</f>
        <v>4.486561236</v>
      </c>
      <c r="M143" s="146">
        <f>'Pomocná data II.PÚ Ž'!M11*'Pomocná data V. PAF'!N128</f>
        <v>2.433326993</v>
      </c>
      <c r="N143" s="146">
        <f>'Pomocná data II.PÚ Ž'!N11*'Pomocná data V. PAF'!O128</f>
        <v>2.35300561</v>
      </c>
      <c r="O143" s="146">
        <f>'Pomocná data II.PÚ Ž'!O11*'Pomocná data V. PAF'!P128</f>
        <v>3.876803038</v>
      </c>
      <c r="P143" s="146">
        <f>'Pomocná data II.PÚ Ž'!P11*'Pomocná data V. PAF'!Q128</f>
        <v>5.088498257</v>
      </c>
      <c r="Q143" s="146">
        <f>'Pomocná data II.PÚ Ž'!Q11*'Pomocná data V. PAF'!R128</f>
        <v>3.195724854</v>
      </c>
      <c r="R143" s="146">
        <f>'Pomocná data II.PÚ Ž'!R11*'Pomocná data V. PAF'!S128</f>
        <v>2.888862529</v>
      </c>
      <c r="S143" s="146">
        <f>'Pomocná data II.PÚ Ž'!S11*'Pomocná data V. PAF'!T128</f>
        <v>1.713520271</v>
      </c>
      <c r="T143" s="146">
        <f>'Pomocná data II.PÚ Ž'!T11*'Pomocná data V. PAF'!U128</f>
        <v>7.181255861</v>
      </c>
      <c r="U143" s="146">
        <f>'Pomocná data II.PÚ Ž'!U11*'Pomocná data V. PAF'!V128</f>
        <v>1.247207948</v>
      </c>
      <c r="V143" s="146">
        <f t="shared" si="36"/>
        <v>68.5045491</v>
      </c>
      <c r="W143" s="198"/>
      <c r="X143" s="198"/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T143" s="198"/>
      <c r="AU143" s="198"/>
      <c r="AV143" s="198"/>
      <c r="AW143" s="198"/>
      <c r="AX143" s="198"/>
      <c r="AY143" s="198"/>
      <c r="AZ143" s="198"/>
      <c r="BA143" s="198"/>
      <c r="BB143" s="198"/>
      <c r="BC143" s="198"/>
      <c r="BD143" s="198"/>
      <c r="BE143" s="198"/>
      <c r="BF143" s="198"/>
      <c r="BG143" s="198"/>
      <c r="BH143" s="198"/>
      <c r="BI143" s="198"/>
      <c r="BJ143" s="198"/>
      <c r="BK143" s="198"/>
      <c r="BL143" s="198"/>
      <c r="BM143" s="198"/>
      <c r="BN143" s="198"/>
      <c r="BO143" s="198"/>
      <c r="BP143" s="198"/>
      <c r="BQ143" s="198"/>
    </row>
    <row r="144" ht="15.75" customHeight="1">
      <c r="A144" s="388" t="s">
        <v>455</v>
      </c>
      <c r="B144" s="146">
        <f>'Pomocná data II.PÚ Ž'!B12*'Pomocná data V. PAF'!C129</f>
        <v>0.8671368445</v>
      </c>
      <c r="C144" s="146">
        <f>'Pomocná data II.PÚ Ž'!C12*'Pomocná data V. PAF'!D129</f>
        <v>0</v>
      </c>
      <c r="D144" s="146">
        <f>'Pomocná data II.PÚ Ž'!D12*'Pomocná data V. PAF'!E129</f>
        <v>10.81383272</v>
      </c>
      <c r="E144" s="146">
        <f>'Pomocná data II.PÚ Ž'!E12*'Pomocná data V. PAF'!F129</f>
        <v>35.52911167</v>
      </c>
      <c r="F144" s="146">
        <f>'Pomocná data II.PÚ Ž'!F12*'Pomocná data V. PAF'!G129</f>
        <v>2.183659689</v>
      </c>
      <c r="G144" s="146">
        <f>'Pomocná data II.PÚ Ž'!G12*'Pomocná data V. PAF'!H129</f>
        <v>0</v>
      </c>
      <c r="H144" s="146">
        <f>'Pomocná data II.PÚ Ž'!H12*'Pomocná data V. PAF'!I129</f>
        <v>1.670532282</v>
      </c>
      <c r="I144" s="146">
        <f>'Pomocná data II.PÚ Ž'!I12*'Pomocná data V. PAF'!J129</f>
        <v>3</v>
      </c>
      <c r="J144" s="146">
        <f>'Pomocná data II.PÚ Ž'!J12*'Pomocná data V. PAF'!K129</f>
        <v>1.571129189</v>
      </c>
      <c r="K144" s="146">
        <f>'Pomocná data II.PÚ Ž'!K12*'Pomocná data V. PAF'!L129</f>
        <v>0</v>
      </c>
      <c r="L144" s="146">
        <f>'Pomocná data II.PÚ Ž'!L12*'Pomocná data V. PAF'!M129</f>
        <v>4.811693751</v>
      </c>
      <c r="M144" s="146">
        <f>'Pomocná data II.PÚ Ž'!M12*'Pomocná data V. PAF'!N129</f>
        <v>3.967793881</v>
      </c>
      <c r="N144" s="146">
        <f>'Pomocná data II.PÚ Ž'!N12*'Pomocná data V. PAF'!O129</f>
        <v>6.644965935</v>
      </c>
      <c r="O144" s="146">
        <f>'Pomocná data II.PÚ Ž'!O12*'Pomocná data V. PAF'!P129</f>
        <v>5.838315726</v>
      </c>
      <c r="P144" s="146">
        <f>'Pomocná data II.PÚ Ž'!P12*'Pomocná data V. PAF'!Q129</f>
        <v>14.84228972</v>
      </c>
      <c r="Q144" s="146">
        <f>'Pomocná data II.PÚ Ž'!Q12*'Pomocná data V. PAF'!R129</f>
        <v>6.589013029</v>
      </c>
      <c r="R144" s="146">
        <f>'Pomocná data II.PÚ Ž'!R12*'Pomocná data V. PAF'!S129</f>
        <v>4.591387008</v>
      </c>
      <c r="S144" s="146">
        <f>'Pomocná data II.PÚ Ž'!S12*'Pomocná data V. PAF'!T129</f>
        <v>5.688098495</v>
      </c>
      <c r="T144" s="146">
        <f>'Pomocná data II.PÚ Ž'!T12*'Pomocná data V. PAF'!U129</f>
        <v>12.00749719</v>
      </c>
      <c r="U144" s="146">
        <f>'Pomocná data II.PÚ Ž'!U12*'Pomocná data V. PAF'!V129</f>
        <v>9.476481047</v>
      </c>
      <c r="V144" s="146">
        <f t="shared" si="36"/>
        <v>130.0929382</v>
      </c>
      <c r="W144" s="198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8"/>
      <c r="BB144" s="198"/>
      <c r="BC144" s="198"/>
      <c r="BD144" s="198"/>
      <c r="BE144" s="198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P144" s="198"/>
      <c r="BQ144" s="198"/>
    </row>
    <row r="145" ht="15.75" customHeight="1">
      <c r="A145" s="388" t="s">
        <v>456</v>
      </c>
      <c r="B145" s="146">
        <f>'Pomocná data II.PÚ Ž'!B13*'Pomocná data V. PAF'!C130</f>
        <v>0.8671368445</v>
      </c>
      <c r="C145" s="146">
        <f>'Pomocná data II.PÚ Ž'!C13*'Pomocná data V. PAF'!D130</f>
        <v>0</v>
      </c>
      <c r="D145" s="146">
        <f>'Pomocná data II.PÚ Ž'!D13*'Pomocná data V. PAF'!E130</f>
        <v>42.4234976</v>
      </c>
      <c r="E145" s="146">
        <f>'Pomocná data II.PÚ Ž'!E13*'Pomocná data V. PAF'!F130</f>
        <v>95.02967216</v>
      </c>
      <c r="F145" s="146">
        <f>'Pomocná data II.PÚ Ž'!F13*'Pomocná data V. PAF'!G130</f>
        <v>4.991222147</v>
      </c>
      <c r="G145" s="146">
        <f>'Pomocná data II.PÚ Ž'!G13*'Pomocná data V. PAF'!H130</f>
        <v>0</v>
      </c>
      <c r="H145" s="146">
        <f>'Pomocná data II.PÚ Ž'!H13*'Pomocná data V. PAF'!I130</f>
        <v>3.155449866</v>
      </c>
      <c r="I145" s="146">
        <f>'Pomocná data II.PÚ Ž'!I13*'Pomocná data V. PAF'!J130</f>
        <v>7</v>
      </c>
      <c r="J145" s="146">
        <f>'Pomocná data II.PÚ Ž'!J13*'Pomocná data V. PAF'!K130</f>
        <v>1.571129189</v>
      </c>
      <c r="K145" s="146">
        <f>'Pomocná data II.PÚ Ž'!K13*'Pomocná data V. PAF'!L130</f>
        <v>0</v>
      </c>
      <c r="L145" s="146">
        <f>'Pomocná data II.PÚ Ž'!L13*'Pomocná data V. PAF'!M130</f>
        <v>5.880959029</v>
      </c>
      <c r="M145" s="146">
        <f>'Pomocná data II.PÚ Ž'!M13*'Pomocná data V. PAF'!N130</f>
        <v>10.58078368</v>
      </c>
      <c r="N145" s="146">
        <f>'Pomocná data II.PÚ Ž'!N13*'Pomocná data V. PAF'!O130</f>
        <v>9.598284128</v>
      </c>
      <c r="O145" s="146">
        <f>'Pomocná data II.PÚ Ž'!O13*'Pomocná data V. PAF'!P130</f>
        <v>11.10549187</v>
      </c>
      <c r="P145" s="146">
        <f>'Pomocná data II.PÚ Ž'!P13*'Pomocná data V. PAF'!Q130</f>
        <v>27.79556075</v>
      </c>
      <c r="Q145" s="146">
        <f>'Pomocná data II.PÚ Ž'!Q13*'Pomocná data V. PAF'!R130</f>
        <v>10.3826872</v>
      </c>
      <c r="R145" s="146">
        <f>'Pomocná data II.PÚ Ž'!R13*'Pomocná data V. PAF'!S130</f>
        <v>9.182774017</v>
      </c>
      <c r="S145" s="146">
        <f>'Pomocná data II.PÚ Ž'!S13*'Pomocná data V. PAF'!T130</f>
        <v>12.32421341</v>
      </c>
      <c r="T145" s="146">
        <f>'Pomocná data II.PÚ Ž'!T13*'Pomocná data V. PAF'!U130</f>
        <v>27.01686867</v>
      </c>
      <c r="U145" s="146">
        <f>'Pomocná data II.PÚ Ž'!U13*'Pomocná data V. PAF'!V130</f>
        <v>20.3067451</v>
      </c>
      <c r="V145" s="146">
        <f t="shared" si="36"/>
        <v>299.2124757</v>
      </c>
      <c r="W145" s="198"/>
      <c r="X145" s="198"/>
      <c r="Y145" s="198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98"/>
      <c r="BD145" s="198"/>
      <c r="BE145" s="198"/>
      <c r="BF145" s="198"/>
      <c r="BG145" s="198"/>
      <c r="BH145" s="198"/>
      <c r="BI145" s="198"/>
      <c r="BJ145" s="198"/>
      <c r="BK145" s="198"/>
      <c r="BL145" s="198"/>
      <c r="BM145" s="198"/>
      <c r="BN145" s="198"/>
      <c r="BO145" s="198"/>
      <c r="BP145" s="198"/>
      <c r="BQ145" s="198"/>
    </row>
    <row r="146" ht="15.75" customHeight="1">
      <c r="A146" s="389" t="s">
        <v>457</v>
      </c>
      <c r="B146" s="390">
        <f>'Pomocná data II.PÚ Ž'!B14*'Pomocná data V. PAF'!C131</f>
        <v>1.829216405</v>
      </c>
      <c r="C146" s="390">
        <f>'Pomocná data II.PÚ Ž'!C14*'Pomocná data V. PAF'!D131</f>
        <v>0</v>
      </c>
      <c r="D146" s="390">
        <f>'Pomocná data II.PÚ Ž'!D14*'Pomocná data V. PAF'!E131</f>
        <v>94.94150918</v>
      </c>
      <c r="E146" s="390">
        <f>'Pomocná data II.PÚ Ž'!E14*'Pomocná data V. PAF'!F131</f>
        <v>192.0701291</v>
      </c>
      <c r="F146" s="390">
        <f>'Pomocná data II.PÚ Ž'!F14*'Pomocná data V. PAF'!G131</f>
        <v>5.956581668</v>
      </c>
      <c r="G146" s="390">
        <f>'Pomocná data II.PÚ Ž'!G14*'Pomocná data V. PAF'!H131</f>
        <v>0</v>
      </c>
      <c r="H146" s="390">
        <f>'Pomocná data II.PÚ Ž'!H14*'Pomocná data V. PAF'!I131</f>
        <v>4.633954203</v>
      </c>
      <c r="I146" s="390">
        <f>'Pomocná data II.PÚ Ž'!I14*'Pomocná data V. PAF'!J131</f>
        <v>8</v>
      </c>
      <c r="J146" s="390">
        <f>'Pomocná data II.PÚ Ž'!J14*'Pomocná data V. PAF'!K131</f>
        <v>4.889511233</v>
      </c>
      <c r="K146" s="390">
        <f>'Pomocná data II.PÚ Ž'!K14*'Pomocná data V. PAF'!L131</f>
        <v>0</v>
      </c>
      <c r="L146" s="390">
        <f>'Pomocná data II.PÚ Ž'!L14*'Pomocná data V. PAF'!M131</f>
        <v>25.49540917</v>
      </c>
      <c r="M146" s="390">
        <f>'Pomocná data II.PÚ Ž'!M14*'Pomocná data V. PAF'!N131</f>
        <v>15.46251661</v>
      </c>
      <c r="N146" s="390">
        <f>'Pomocná data II.PÚ Ž'!N14*'Pomocná data V. PAF'!O131</f>
        <v>17.20726213</v>
      </c>
      <c r="O146" s="390">
        <f>'Pomocná data II.PÚ Ž'!O14*'Pomocná data V. PAF'!P131</f>
        <v>9.910553751</v>
      </c>
      <c r="P146" s="390">
        <f>'Pomocná data II.PÚ Ž'!P14*'Pomocná data V. PAF'!Q131</f>
        <v>39.90799031</v>
      </c>
      <c r="Q146" s="390">
        <f>'Pomocná data II.PÚ Ž'!Q14*'Pomocná data V. PAF'!R131</f>
        <v>18.54957768</v>
      </c>
      <c r="R146" s="390">
        <f>'Pomocná data II.PÚ Ž'!R14*'Pomocná data V. PAF'!S131</f>
        <v>9.678972713</v>
      </c>
      <c r="S146" s="390">
        <f>'Pomocná data II.PÚ Ž'!S14*'Pomocná data V. PAF'!T131</f>
        <v>17.49072753</v>
      </c>
      <c r="T146" s="390">
        <f>'Pomocná data II.PÚ Ž'!T14*'Pomocná data V. PAF'!U131</f>
        <v>50.4546171</v>
      </c>
      <c r="U146" s="390">
        <f>'Pomocná data II.PÚ Ž'!U14*'Pomocná data V. PAF'!V131</f>
        <v>32.53379654</v>
      </c>
      <c r="V146" s="390">
        <f t="shared" si="36"/>
        <v>549.0123253</v>
      </c>
      <c r="W146" s="383"/>
      <c r="X146" s="383"/>
      <c r="Y146" s="38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/>
      <c r="AJ146" s="383"/>
      <c r="AK146" s="383"/>
      <c r="AL146" s="383"/>
      <c r="AM146" s="383"/>
      <c r="AN146" s="383"/>
      <c r="AO146" s="383"/>
      <c r="AP146" s="383"/>
      <c r="AQ146" s="383"/>
      <c r="AR146" s="383"/>
      <c r="AS146" s="383"/>
      <c r="AT146" s="383"/>
      <c r="AU146" s="383"/>
      <c r="AV146" s="383"/>
      <c r="AW146" s="383"/>
      <c r="AX146" s="383"/>
      <c r="AY146" s="383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  <c r="BO146" s="198"/>
      <c r="BP146" s="198"/>
      <c r="BQ146" s="198"/>
    </row>
    <row r="147" ht="15.75" customHeight="1">
      <c r="A147" s="389" t="s">
        <v>458</v>
      </c>
      <c r="B147" s="390">
        <f>'Pomocná data II.PÚ Ž'!B15*'Pomocná data V. PAF'!C132</f>
        <v>2.962494352</v>
      </c>
      <c r="C147" s="390">
        <f>'Pomocná data II.PÚ Ž'!C15*'Pomocná data V. PAF'!D132</f>
        <v>0</v>
      </c>
      <c r="D147" s="390">
        <f>'Pomocná data II.PÚ Ž'!D15*'Pomocná data V. PAF'!E132</f>
        <v>179.8938502</v>
      </c>
      <c r="E147" s="390">
        <f>'Pomocná data II.PÚ Ž'!E15*'Pomocná data V. PAF'!F132</f>
        <v>310.1080795</v>
      </c>
      <c r="F147" s="390">
        <f>'Pomocná data II.PÚ Ž'!F15*'Pomocná data V. PAF'!G132</f>
        <v>9.725848564</v>
      </c>
      <c r="G147" s="390">
        <f>'Pomocná data II.PÚ Ž'!G15*'Pomocná data V. PAF'!H132</f>
        <v>0</v>
      </c>
      <c r="H147" s="390">
        <f>'Pomocná data II.PÚ Ž'!H15*'Pomocná data V. PAF'!I132</f>
        <v>3.570495312</v>
      </c>
      <c r="I147" s="390">
        <f>'Pomocná data II.PÚ Ž'!I15*'Pomocná data V. PAF'!J132</f>
        <v>14</v>
      </c>
      <c r="J147" s="390">
        <f>'Pomocná data II.PÚ Ž'!J15*'Pomocná data V. PAF'!K132</f>
        <v>7.988842066</v>
      </c>
      <c r="K147" s="390">
        <f>'Pomocná data II.PÚ Ž'!K15*'Pomocná data V. PAF'!L132</f>
        <v>0</v>
      </c>
      <c r="L147" s="390">
        <f>'Pomocná data II.PÚ Ž'!L15*'Pomocná data V. PAF'!M132</f>
        <v>26.92847193</v>
      </c>
      <c r="M147" s="390">
        <f>'Pomocná data II.PÚ Ž'!M15*'Pomocná data V. PAF'!N132</f>
        <v>17.48940333</v>
      </c>
      <c r="N147" s="390">
        <f>'Pomocná data II.PÚ Ž'!N15*'Pomocná data V. PAF'!O132</f>
        <v>22.44026724</v>
      </c>
      <c r="O147" s="390">
        <f>'Pomocná data II.PÚ Ž'!O15*'Pomocná data V. PAF'!P132</f>
        <v>12.84718228</v>
      </c>
      <c r="P147" s="390">
        <f>'Pomocná data II.PÚ Ž'!P15*'Pomocná data V. PAF'!Q132</f>
        <v>49.81972265</v>
      </c>
      <c r="Q147" s="390">
        <f>'Pomocná data II.PÚ Ž'!Q15*'Pomocná data V. PAF'!R132</f>
        <v>24.61728344</v>
      </c>
      <c r="R147" s="390">
        <f>'Pomocná data II.PÚ Ž'!R15*'Pomocná data V. PAF'!S132</f>
        <v>9.683495502</v>
      </c>
      <c r="S147" s="390">
        <f>'Pomocná data II.PÚ Ž'!S15*'Pomocná data V. PAF'!T132</f>
        <v>16.55555556</v>
      </c>
      <c r="T147" s="390">
        <f>'Pomocná data II.PÚ Ž'!T15*'Pomocná data V. PAF'!U132</f>
        <v>78.62843187</v>
      </c>
      <c r="U147" s="390">
        <f>'Pomocná data II.PÚ Ž'!U15*'Pomocná data V. PAF'!V132</f>
        <v>66.58209314</v>
      </c>
      <c r="V147" s="390">
        <f t="shared" si="36"/>
        <v>853.8415169</v>
      </c>
      <c r="W147" s="383"/>
      <c r="X147" s="383"/>
      <c r="Y147" s="383"/>
      <c r="Z147" s="383"/>
      <c r="AA147" s="383"/>
      <c r="AB147" s="383"/>
      <c r="AC147" s="383"/>
      <c r="AD147" s="383"/>
      <c r="AE147" s="383"/>
      <c r="AF147" s="383"/>
      <c r="AG147" s="383"/>
      <c r="AH147" s="383"/>
      <c r="AI147" s="383"/>
      <c r="AJ147" s="383"/>
      <c r="AK147" s="383"/>
      <c r="AL147" s="383"/>
      <c r="AM147" s="383"/>
      <c r="AN147" s="383"/>
      <c r="AO147" s="383"/>
      <c r="AP147" s="383"/>
      <c r="AQ147" s="383"/>
      <c r="AR147" s="383"/>
      <c r="AS147" s="383"/>
      <c r="AT147" s="383"/>
      <c r="AU147" s="383"/>
      <c r="AV147" s="383"/>
      <c r="AW147" s="383"/>
      <c r="AX147" s="383"/>
      <c r="AY147" s="383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8"/>
      <c r="BN147" s="198"/>
      <c r="BO147" s="198"/>
      <c r="BP147" s="198"/>
      <c r="BQ147" s="198"/>
    </row>
    <row r="148" ht="15.75" customHeight="1">
      <c r="A148" s="389" t="s">
        <v>459</v>
      </c>
      <c r="B148" s="390">
        <f>SUM('Pomocná data II.PÚ Ž'!B16:B20)*'Pomocná data V. PAF'!C133</f>
        <v>13.40608835</v>
      </c>
      <c r="C148" s="390">
        <f>SUM('Pomocná data II.PÚ Ž'!C16:C20)*'Pomocná data V. PAF'!D133</f>
        <v>0</v>
      </c>
      <c r="D148" s="390">
        <f>SUM('Pomocná data II.PÚ Ž'!D16:D20)*'Pomocná data V. PAF'!E133</f>
        <v>1197.294908</v>
      </c>
      <c r="E148" s="390">
        <f>SUM('Pomocná data II.PÚ Ž'!E16:E20)*'Pomocná data V. PAF'!F133</f>
        <v>3328.047822</v>
      </c>
      <c r="F148" s="390">
        <f>SUM('Pomocná data II.PÚ Ž'!F16:F20)*'Pomocná data V. PAF'!G133</f>
        <v>26.29678337</v>
      </c>
      <c r="G148" s="390">
        <f>SUM('Pomocná data II.PÚ Ž'!G16:G20)*'Pomocná data V. PAF'!H133</f>
        <v>0</v>
      </c>
      <c r="H148" s="390">
        <f>SUM('Pomocná data II.PÚ Ž'!H16:H20)*'Pomocná data V. PAF'!I133</f>
        <v>10.31370274</v>
      </c>
      <c r="I148" s="390">
        <f>SUM('Pomocná data II.PÚ Ž'!I16:I20)*'Pomocná data V. PAF'!J133</f>
        <v>15</v>
      </c>
      <c r="J148" s="390">
        <f>SUM('Pomocná data II.PÚ Ž'!J16:J20)*'Pomocná data V. PAF'!K133</f>
        <v>46.14893507</v>
      </c>
      <c r="K148" s="390">
        <f>SUM('Pomocná data II.PÚ Ž'!K16:K20)*'Pomocná data V. PAF'!L133</f>
        <v>0.5356509167</v>
      </c>
      <c r="L148" s="390">
        <f>SUM('Pomocná data II.PÚ Ž'!L16:L20)*'Pomocná data V. PAF'!M133</f>
        <v>152.8852082</v>
      </c>
      <c r="M148" s="390">
        <f>SUM('Pomocná data II.PÚ Ž'!M16:M20)*'Pomocná data V. PAF'!N133</f>
        <v>42.52324369</v>
      </c>
      <c r="N148" s="390">
        <f>SUM('Pomocná data II.PÚ Ž'!N16:N20)*'Pomocná data V. PAF'!O133</f>
        <v>64.80480996</v>
      </c>
      <c r="O148" s="390">
        <f>SUM('Pomocná data II.PÚ Ž'!O16:O20)*'Pomocná data V. PAF'!P133</f>
        <v>31.56240081</v>
      </c>
      <c r="P148" s="390">
        <f>SUM('Pomocná data II.PÚ Ž'!P16:P20)*'Pomocná data V. PAF'!Q133</f>
        <v>102.4614647</v>
      </c>
      <c r="Q148" s="390">
        <f>SUM('Pomocná data II.PÚ Ž'!Q16:Q20)*'Pomocná data V. PAF'!R133</f>
        <v>72.6796432</v>
      </c>
      <c r="R148" s="390">
        <f>SUM('Pomocná data II.PÚ Ž'!R16:R20)*'Pomocná data V. PAF'!S133</f>
        <v>14.34489044</v>
      </c>
      <c r="S148" s="390">
        <f>SUM('Pomocná data II.PÚ Ž'!S16:S20)*'Pomocná data V. PAF'!T133</f>
        <v>52.98591549</v>
      </c>
      <c r="T148" s="390">
        <f>SUM('Pomocná data II.PÚ Ž'!T16:T20)*'Pomocná data V. PAF'!U133</f>
        <v>717.4941565</v>
      </c>
      <c r="U148" s="390">
        <f>SUM('Pomocná data II.PÚ Ž'!U16:U20)*'Pomocná data V. PAF'!V133</f>
        <v>687.6745634</v>
      </c>
      <c r="V148" s="390">
        <f t="shared" si="36"/>
        <v>6576.460188</v>
      </c>
      <c r="W148" s="383"/>
      <c r="X148" s="383"/>
      <c r="Y148" s="383"/>
      <c r="Z148" s="383"/>
      <c r="AA148" s="383"/>
      <c r="AB148" s="383"/>
      <c r="AC148" s="383"/>
      <c r="AD148" s="383"/>
      <c r="AE148" s="383"/>
      <c r="AF148" s="383"/>
      <c r="AG148" s="383"/>
      <c r="AH148" s="383"/>
      <c r="AI148" s="383"/>
      <c r="AJ148" s="383"/>
      <c r="AK148" s="383"/>
      <c r="AL148" s="383"/>
      <c r="AM148" s="383"/>
      <c r="AN148" s="383"/>
      <c r="AO148" s="383"/>
      <c r="AP148" s="383"/>
      <c r="AQ148" s="383"/>
      <c r="AR148" s="383"/>
      <c r="AS148" s="383"/>
      <c r="AT148" s="383"/>
      <c r="AU148" s="383"/>
      <c r="AV148" s="383"/>
      <c r="AW148" s="383"/>
      <c r="AX148" s="383"/>
      <c r="AY148" s="383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  <c r="BO148" s="198"/>
      <c r="BP148" s="198"/>
      <c r="BQ148" s="198"/>
    </row>
    <row r="149" ht="15.75" customHeight="1">
      <c r="A149" s="391" t="s">
        <v>471</v>
      </c>
      <c r="B149" s="392">
        <f t="shared" ref="B149:V149" si="37">SUM(B136:B145)</f>
        <v>3.443252609</v>
      </c>
      <c r="C149" s="392">
        <f t="shared" si="37"/>
        <v>0</v>
      </c>
      <c r="D149" s="392">
        <f t="shared" si="37"/>
        <v>64.37782307</v>
      </c>
      <c r="E149" s="392">
        <f t="shared" si="37"/>
        <v>169.3365922</v>
      </c>
      <c r="F149" s="392">
        <f t="shared" si="37"/>
        <v>10.31734266</v>
      </c>
      <c r="G149" s="392">
        <f t="shared" si="37"/>
        <v>0</v>
      </c>
      <c r="H149" s="392">
        <f t="shared" si="37"/>
        <v>7.355980621</v>
      </c>
      <c r="I149" s="392">
        <f t="shared" si="37"/>
        <v>22</v>
      </c>
      <c r="J149" s="392">
        <f t="shared" si="37"/>
        <v>8.203200564</v>
      </c>
      <c r="K149" s="392">
        <f t="shared" si="37"/>
        <v>0</v>
      </c>
      <c r="L149" s="392">
        <f t="shared" si="37"/>
        <v>23.18018821</v>
      </c>
      <c r="M149" s="392">
        <f t="shared" si="37"/>
        <v>19.17283715</v>
      </c>
      <c r="N149" s="392">
        <f t="shared" si="37"/>
        <v>21.63289226</v>
      </c>
      <c r="O149" s="392">
        <f t="shared" si="37"/>
        <v>27.0970856</v>
      </c>
      <c r="P149" s="392">
        <f t="shared" si="37"/>
        <v>52.15289701</v>
      </c>
      <c r="Q149" s="392">
        <f t="shared" si="37"/>
        <v>24.6967522</v>
      </c>
      <c r="R149" s="392">
        <f t="shared" si="37"/>
        <v>18.66486843</v>
      </c>
      <c r="S149" s="392">
        <f t="shared" si="37"/>
        <v>22.41011421</v>
      </c>
      <c r="T149" s="392">
        <f t="shared" si="37"/>
        <v>53.59856432</v>
      </c>
      <c r="U149" s="392">
        <f t="shared" si="37"/>
        <v>34.03278033</v>
      </c>
      <c r="V149" s="392">
        <f t="shared" si="37"/>
        <v>581.6731714</v>
      </c>
      <c r="W149" s="13"/>
      <c r="X149" s="198"/>
      <c r="Y149" s="198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98"/>
      <c r="AL149" s="198"/>
      <c r="AM149" s="198"/>
      <c r="AN149" s="198"/>
      <c r="AO149" s="198"/>
      <c r="AP149" s="198"/>
      <c r="AQ149" s="198"/>
      <c r="AR149" s="198"/>
      <c r="AS149" s="198"/>
      <c r="AT149" s="198"/>
      <c r="AU149" s="198"/>
      <c r="AV149" s="198"/>
      <c r="AW149" s="198"/>
      <c r="AX149" s="198"/>
      <c r="AY149" s="198"/>
      <c r="AZ149" s="198"/>
      <c r="BA149" s="198"/>
      <c r="BB149" s="198"/>
      <c r="BC149" s="198"/>
      <c r="BD149" s="198"/>
      <c r="BE149" s="198"/>
      <c r="BF149" s="198"/>
      <c r="BG149" s="198"/>
      <c r="BH149" s="198"/>
      <c r="BI149" s="198"/>
      <c r="BJ149" s="198"/>
      <c r="BK149" s="198"/>
      <c r="BL149" s="198"/>
      <c r="BM149" s="198"/>
      <c r="BN149" s="198"/>
      <c r="BO149" s="198"/>
      <c r="BP149" s="198"/>
      <c r="BQ149" s="198"/>
    </row>
    <row r="150" ht="15.75" customHeight="1">
      <c r="A150" s="391" t="s">
        <v>472</v>
      </c>
      <c r="B150" s="393">
        <f t="shared" ref="B150:V150" si="38">SUM(B146:B148)</f>
        <v>18.1977991</v>
      </c>
      <c r="C150" s="393">
        <f t="shared" si="38"/>
        <v>0</v>
      </c>
      <c r="D150" s="393">
        <f t="shared" si="38"/>
        <v>1472.130268</v>
      </c>
      <c r="E150" s="393">
        <f t="shared" si="38"/>
        <v>3830.226031</v>
      </c>
      <c r="F150" s="393">
        <f t="shared" si="38"/>
        <v>41.9792136</v>
      </c>
      <c r="G150" s="393">
        <f t="shared" si="38"/>
        <v>0</v>
      </c>
      <c r="H150" s="393">
        <f t="shared" si="38"/>
        <v>18.51815225</v>
      </c>
      <c r="I150" s="393">
        <f t="shared" si="38"/>
        <v>37</v>
      </c>
      <c r="J150" s="393">
        <f t="shared" si="38"/>
        <v>59.02728837</v>
      </c>
      <c r="K150" s="393">
        <f t="shared" si="38"/>
        <v>0.5356509167</v>
      </c>
      <c r="L150" s="393">
        <f t="shared" si="38"/>
        <v>205.3090893</v>
      </c>
      <c r="M150" s="393">
        <f t="shared" si="38"/>
        <v>75.47516363</v>
      </c>
      <c r="N150" s="393">
        <f t="shared" si="38"/>
        <v>104.4523393</v>
      </c>
      <c r="O150" s="393">
        <f t="shared" si="38"/>
        <v>54.32013684</v>
      </c>
      <c r="P150" s="393">
        <f t="shared" si="38"/>
        <v>192.1891776</v>
      </c>
      <c r="Q150" s="393">
        <f t="shared" si="38"/>
        <v>115.8465043</v>
      </c>
      <c r="R150" s="393">
        <f t="shared" si="38"/>
        <v>33.70735866</v>
      </c>
      <c r="S150" s="393">
        <f t="shared" si="38"/>
        <v>87.03219858</v>
      </c>
      <c r="T150" s="393">
        <f t="shared" si="38"/>
        <v>846.5772055</v>
      </c>
      <c r="U150" s="393">
        <f t="shared" si="38"/>
        <v>786.7904531</v>
      </c>
      <c r="V150" s="392">
        <f t="shared" si="38"/>
        <v>7979.31403</v>
      </c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8"/>
      <c r="BN150" s="198"/>
      <c r="BO150" s="198"/>
      <c r="BP150" s="198"/>
      <c r="BQ150" s="198"/>
    </row>
    <row r="151" ht="15.75" customHeight="1">
      <c r="A151" s="13"/>
      <c r="B151" s="198"/>
      <c r="C151" s="198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198"/>
      <c r="AT151" s="198"/>
      <c r="AU151" s="198"/>
      <c r="AV151" s="198"/>
      <c r="AW151" s="198"/>
      <c r="AX151" s="198"/>
      <c r="AY151" s="198"/>
      <c r="AZ151" s="198"/>
      <c r="BA151" s="198"/>
      <c r="BB151" s="198"/>
      <c r="BC151" s="198"/>
      <c r="BD151" s="198"/>
      <c r="BE151" s="198"/>
      <c r="BF151" s="198"/>
      <c r="BG151" s="198"/>
      <c r="BH151" s="198"/>
      <c r="BI151" s="198"/>
      <c r="BJ151" s="198"/>
      <c r="BK151" s="198"/>
      <c r="BL151" s="198"/>
      <c r="BM151" s="198"/>
      <c r="BN151" s="198"/>
      <c r="BO151" s="198"/>
      <c r="BP151" s="198"/>
      <c r="BQ151" s="198"/>
    </row>
    <row r="152" ht="15.75" customHeight="1">
      <c r="A152" s="13" t="s">
        <v>283</v>
      </c>
      <c r="B152" s="198"/>
      <c r="C152" s="198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98"/>
      <c r="AL152" s="198"/>
      <c r="AM152" s="198"/>
      <c r="AN152" s="198"/>
      <c r="AO152" s="198"/>
      <c r="AP152" s="198"/>
      <c r="AQ152" s="198"/>
      <c r="AR152" s="198"/>
      <c r="AS152" s="198"/>
      <c r="AT152" s="198"/>
      <c r="AU152" s="198"/>
      <c r="AV152" s="198"/>
      <c r="AW152" s="198"/>
      <c r="AX152" s="198"/>
      <c r="AY152" s="198"/>
      <c r="AZ152" s="198"/>
      <c r="BA152" s="198"/>
      <c r="BB152" s="198"/>
      <c r="BC152" s="198"/>
      <c r="BD152" s="198"/>
      <c r="BE152" s="198"/>
      <c r="BF152" s="198"/>
      <c r="BG152" s="198"/>
      <c r="BH152" s="198"/>
      <c r="BI152" s="198"/>
      <c r="BJ152" s="198"/>
      <c r="BK152" s="198"/>
      <c r="BL152" s="198"/>
      <c r="BM152" s="198"/>
      <c r="BN152" s="198"/>
      <c r="BO152" s="198"/>
      <c r="BP152" s="198"/>
      <c r="BQ152" s="198"/>
    </row>
    <row r="153" ht="15.75" customHeight="1">
      <c r="A153" s="236" t="s">
        <v>468</v>
      </c>
      <c r="B153" s="387" t="s">
        <v>288</v>
      </c>
      <c r="C153" s="387" t="s">
        <v>405</v>
      </c>
      <c r="D153" s="387" t="s">
        <v>469</v>
      </c>
      <c r="E153" s="387" t="s">
        <v>294</v>
      </c>
      <c r="F153" s="387" t="s">
        <v>296</v>
      </c>
      <c r="G153" s="387" t="s">
        <v>298</v>
      </c>
      <c r="H153" s="387" t="s">
        <v>300</v>
      </c>
      <c r="I153" s="387" t="s">
        <v>89</v>
      </c>
      <c r="J153" s="387" t="s">
        <v>303</v>
      </c>
      <c r="K153" s="387" t="s">
        <v>470</v>
      </c>
      <c r="L153" s="387" t="s">
        <v>307</v>
      </c>
      <c r="M153" s="387" t="s">
        <v>406</v>
      </c>
      <c r="N153" s="387" t="s">
        <v>311</v>
      </c>
      <c r="O153" s="387" t="s">
        <v>313</v>
      </c>
      <c r="P153" s="387" t="s">
        <v>315</v>
      </c>
      <c r="Q153" s="387" t="s">
        <v>407</v>
      </c>
      <c r="R153" s="387" t="s">
        <v>319</v>
      </c>
      <c r="S153" s="387" t="s">
        <v>321</v>
      </c>
      <c r="T153" s="387" t="s">
        <v>323</v>
      </c>
      <c r="U153" s="387" t="s">
        <v>408</v>
      </c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8"/>
      <c r="AT153" s="198"/>
      <c r="AU153" s="198"/>
      <c r="AV153" s="198"/>
      <c r="AW153" s="198"/>
      <c r="AX153" s="198"/>
      <c r="AY153" s="198"/>
      <c r="AZ153" s="198"/>
      <c r="BA153" s="198"/>
      <c r="BB153" s="198"/>
      <c r="BC153" s="198"/>
      <c r="BD153" s="198"/>
      <c r="BE153" s="198"/>
      <c r="BF153" s="198"/>
      <c r="BG153" s="198"/>
      <c r="BH153" s="198"/>
      <c r="BI153" s="198"/>
      <c r="BJ153" s="198"/>
      <c r="BK153" s="198"/>
      <c r="BL153" s="198"/>
      <c r="BM153" s="198"/>
      <c r="BN153" s="198"/>
      <c r="BO153" s="198"/>
      <c r="BP153" s="198"/>
      <c r="BQ153" s="198"/>
    </row>
    <row r="154" ht="15.75" customHeight="1">
      <c r="A154" s="388" t="s">
        <v>447</v>
      </c>
      <c r="B154" s="146">
        <f>'Pomocná data III.PÚ M'!B4*'Pomocná data V. PAF'!C100</f>
        <v>0</v>
      </c>
      <c r="C154" s="146">
        <f>'Pomocná data III.PÚ M'!C4*'Pomocná data V. PAF'!D100</f>
        <v>0</v>
      </c>
      <c r="D154" s="146">
        <f>'Pomocná data III.PÚ M'!D4*'Pomocná data V. PAF'!E100</f>
        <v>0</v>
      </c>
      <c r="E154" s="146">
        <f>'Pomocná data III.PÚ M'!E4*'Pomocná data V. PAF'!F100</f>
        <v>0</v>
      </c>
      <c r="F154" s="146">
        <f>'Pomocná data III.PÚ M'!F4*'Pomocná data V. PAF'!G100</f>
        <v>0</v>
      </c>
      <c r="G154" s="146">
        <f>'Pomocná data III.PÚ M'!G4*'Pomocná data V. PAF'!H100</f>
        <v>0</v>
      </c>
      <c r="H154" s="146">
        <f>'Pomocná data III.PÚ M'!H4*'Pomocná data V. PAF'!I100</f>
        <v>0</v>
      </c>
      <c r="I154" s="146">
        <f>'Pomocná data III.PÚ M'!I4*'Pomocná data V. PAF'!J100</f>
        <v>0</v>
      </c>
      <c r="J154" s="146">
        <f>'Pomocná data III.PÚ M'!J4*'Pomocná data V. PAF'!K100</f>
        <v>0</v>
      </c>
      <c r="K154" s="146">
        <f>'Pomocná data III.PÚ M'!K4*'Pomocná data V. PAF'!L100</f>
        <v>0</v>
      </c>
      <c r="L154" s="146">
        <f>'Pomocná data III.PÚ M'!L4*'Pomocná data V. PAF'!M100</f>
        <v>0</v>
      </c>
      <c r="M154" s="146"/>
      <c r="N154" s="146">
        <f>'Pomocná data III.PÚ M'!N4*'Pomocná data V. PAF'!O100</f>
        <v>0.1324794494</v>
      </c>
      <c r="O154" s="146">
        <f>'Pomocná data III.PÚ M'!O4*'Pomocná data V. PAF'!P100</f>
        <v>0</v>
      </c>
      <c r="P154" s="146">
        <f>'Pomocná data III.PÚ M'!P4*'Pomocná data V. PAF'!Q100</f>
        <v>0</v>
      </c>
      <c r="Q154" s="146">
        <f>'Pomocná data III.PÚ M'!Q4*'Pomocná data V. PAF'!R100</f>
        <v>0</v>
      </c>
      <c r="R154" s="146"/>
      <c r="S154" s="146">
        <f>'Pomocná data III.PÚ M'!S4*'Pomocná data V. PAF'!T100</f>
        <v>0</v>
      </c>
      <c r="T154" s="146">
        <f>'Pomocná data III.PÚ M'!T4*'Pomocná data V. PAF'!U100</f>
        <v>0.1961568657</v>
      </c>
      <c r="U154" s="146">
        <f>'Pomocná data III.PÚ M'!U4*'Pomocná data V. PAF'!V100</f>
        <v>0</v>
      </c>
      <c r="V154" s="146">
        <f t="shared" ref="V154:V166" si="39">SUM(B154:U154)</f>
        <v>0.3286363151</v>
      </c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  <c r="AL154" s="198"/>
      <c r="AM154" s="198"/>
      <c r="AN154" s="198"/>
      <c r="AO154" s="198"/>
      <c r="AP154" s="198"/>
      <c r="AQ154" s="198"/>
      <c r="AR154" s="198"/>
      <c r="AS154" s="198"/>
      <c r="AT154" s="198"/>
      <c r="AU154" s="198"/>
      <c r="AV154" s="198"/>
      <c r="AW154" s="198"/>
      <c r="AX154" s="198"/>
      <c r="AY154" s="198"/>
      <c r="AZ154" s="198"/>
      <c r="BA154" s="198"/>
      <c r="BB154" s="198"/>
      <c r="BC154" s="198"/>
      <c r="BD154" s="198"/>
      <c r="BE154" s="198"/>
      <c r="BF154" s="198"/>
      <c r="BG154" s="198"/>
      <c r="BH154" s="198"/>
      <c r="BI154" s="198"/>
      <c r="BJ154" s="198"/>
      <c r="BK154" s="198"/>
      <c r="BL154" s="198"/>
      <c r="BM154" s="198"/>
      <c r="BN154" s="198"/>
      <c r="BO154" s="198"/>
      <c r="BP154" s="198"/>
      <c r="BQ154" s="198"/>
    </row>
    <row r="155" ht="15.75" customHeight="1">
      <c r="A155" s="388" t="s">
        <v>448</v>
      </c>
      <c r="B155" s="146">
        <f>'Pomocná data III.PÚ M'!B5*'Pomocná data V. PAF'!C101</f>
        <v>0</v>
      </c>
      <c r="C155" s="146">
        <f>'Pomocná data III.PÚ M'!C5*'Pomocná data V. PAF'!D101</f>
        <v>0</v>
      </c>
      <c r="D155" s="146">
        <f>'Pomocná data III.PÚ M'!D5*'Pomocná data V. PAF'!E101</f>
        <v>0</v>
      </c>
      <c r="E155" s="146">
        <f>'Pomocná data III.PÚ M'!E5*'Pomocná data V. PAF'!F101</f>
        <v>0</v>
      </c>
      <c r="F155" s="146">
        <f>'Pomocná data III.PÚ M'!F5*'Pomocná data V. PAF'!G101</f>
        <v>0</v>
      </c>
      <c r="G155" s="146">
        <f>'Pomocná data III.PÚ M'!G5*'Pomocná data V. PAF'!H101</f>
        <v>0.1020092736</v>
      </c>
      <c r="H155" s="146">
        <f>'Pomocná data III.PÚ M'!H5*'Pomocná data V. PAF'!I101</f>
        <v>0.1504559271</v>
      </c>
      <c r="I155" s="146">
        <f>'Pomocná data III.PÚ M'!I5*'Pomocná data V. PAF'!J101</f>
        <v>0</v>
      </c>
      <c r="J155" s="146">
        <f>'Pomocná data III.PÚ M'!J5*'Pomocná data V. PAF'!K101</f>
        <v>0.197309417</v>
      </c>
      <c r="K155" s="146">
        <f>'Pomocná data III.PÚ M'!K5*'Pomocná data V. PAF'!L101</f>
        <v>0</v>
      </c>
      <c r="L155" s="146">
        <f>'Pomocná data III.PÚ M'!L5*'Pomocná data V. PAF'!M101</f>
        <v>0</v>
      </c>
      <c r="M155" s="146"/>
      <c r="N155" s="146">
        <f>'Pomocná data III.PÚ M'!N5*'Pomocná data V. PAF'!O101</f>
        <v>0</v>
      </c>
      <c r="O155" s="146">
        <f>'Pomocná data III.PÚ M'!O5*'Pomocná data V. PAF'!P101</f>
        <v>0</v>
      </c>
      <c r="P155" s="146">
        <f>'Pomocná data III.PÚ M'!P5*'Pomocná data V. PAF'!Q101</f>
        <v>0</v>
      </c>
      <c r="Q155" s="146">
        <f>'Pomocná data III.PÚ M'!Q5*'Pomocná data V. PAF'!R101</f>
        <v>0.2775122512</v>
      </c>
      <c r="R155" s="146"/>
      <c r="S155" s="146">
        <f>'Pomocná data III.PÚ M'!S5*'Pomocná data V. PAF'!T101</f>
        <v>0</v>
      </c>
      <c r="T155" s="146">
        <f>'Pomocná data III.PÚ M'!T5*'Pomocná data V. PAF'!U101</f>
        <v>0.3132724342</v>
      </c>
      <c r="U155" s="146">
        <f>'Pomocná data III.PÚ M'!U5*'Pomocná data V. PAF'!V101</f>
        <v>0</v>
      </c>
      <c r="V155" s="146">
        <f t="shared" si="39"/>
        <v>1.040559303</v>
      </c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198"/>
      <c r="AT155" s="198"/>
      <c r="AU155" s="198"/>
      <c r="AV155" s="198"/>
      <c r="AW155" s="198"/>
      <c r="AX155" s="198"/>
      <c r="AY155" s="198"/>
      <c r="AZ155" s="198"/>
      <c r="BA155" s="198"/>
      <c r="BB155" s="198"/>
      <c r="BC155" s="198"/>
      <c r="BD155" s="198"/>
      <c r="BE155" s="198"/>
      <c r="BF155" s="198"/>
      <c r="BG155" s="198"/>
      <c r="BH155" s="198"/>
      <c r="BI155" s="198"/>
      <c r="BJ155" s="198"/>
      <c r="BK155" s="198"/>
      <c r="BL155" s="198"/>
      <c r="BM155" s="198"/>
      <c r="BN155" s="198"/>
      <c r="BO155" s="198"/>
      <c r="BP155" s="198"/>
      <c r="BQ155" s="198"/>
    </row>
    <row r="156" ht="15.75" customHeight="1">
      <c r="A156" s="388" t="s">
        <v>449</v>
      </c>
      <c r="B156" s="146">
        <f>'Pomocná data III.PÚ M'!B6*'Pomocná data V. PAF'!C102</f>
        <v>0</v>
      </c>
      <c r="C156" s="146">
        <f>'Pomocná data III.PÚ M'!C6*'Pomocná data V. PAF'!D102</f>
        <v>0</v>
      </c>
      <c r="D156" s="146">
        <f>'Pomocná data III.PÚ M'!D6*'Pomocná data V. PAF'!E102</f>
        <v>1.358905536</v>
      </c>
      <c r="E156" s="146">
        <f>'Pomocná data III.PÚ M'!E6*'Pomocná data V. PAF'!F102</f>
        <v>0.5174844946</v>
      </c>
      <c r="F156" s="146">
        <f>'Pomocná data III.PÚ M'!F6*'Pomocná data V. PAF'!G102</f>
        <v>0</v>
      </c>
      <c r="G156" s="146">
        <f>'Pomocná data III.PÚ M'!G6*'Pomocná data V. PAF'!H102</f>
        <v>0.157152604</v>
      </c>
      <c r="H156" s="146">
        <f>'Pomocná data III.PÚ M'!H6*'Pomocná data V. PAF'!I102</f>
        <v>0.2297122594</v>
      </c>
      <c r="I156" s="146">
        <f>'Pomocná data III.PÚ M'!I6*'Pomocná data V. PAF'!J102</f>
        <v>0</v>
      </c>
      <c r="J156" s="146">
        <f>'Pomocná data III.PÚ M'!J6*'Pomocná data V. PAF'!K102</f>
        <v>0</v>
      </c>
      <c r="K156" s="146">
        <f>'Pomocná data III.PÚ M'!K6*'Pomocná data V. PAF'!L102</f>
        <v>0</v>
      </c>
      <c r="L156" s="146">
        <f>'Pomocná data III.PÚ M'!L6*'Pomocná data V. PAF'!M102</f>
        <v>0.9014693212</v>
      </c>
      <c r="M156" s="146"/>
      <c r="N156" s="146">
        <f>'Pomocná data III.PÚ M'!N6*'Pomocná data V. PAF'!O102</f>
        <v>0</v>
      </c>
      <c r="O156" s="146">
        <f>'Pomocná data III.PÚ M'!O6*'Pomocná data V. PAF'!P102</f>
        <v>0</v>
      </c>
      <c r="P156" s="146">
        <f>'Pomocná data III.PÚ M'!P6*'Pomocná data V. PAF'!Q102</f>
        <v>0</v>
      </c>
      <c r="Q156" s="146">
        <f>'Pomocná data III.PÚ M'!Q6*'Pomocná data V. PAF'!R102</f>
        <v>0.4139751655</v>
      </c>
      <c r="R156" s="146"/>
      <c r="S156" s="146">
        <f>'Pomocná data III.PÚ M'!S6*'Pomocná data V. PAF'!T102</f>
        <v>0</v>
      </c>
      <c r="T156" s="146">
        <f>'Pomocná data III.PÚ M'!T6*'Pomocná data V. PAF'!U102</f>
        <v>0.4643208817</v>
      </c>
      <c r="U156" s="146">
        <f>'Pomocná data III.PÚ M'!U6*'Pomocná data V. PAF'!V102</f>
        <v>0</v>
      </c>
      <c r="V156" s="146">
        <f t="shared" si="39"/>
        <v>4.043020262</v>
      </c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198"/>
      <c r="AT156" s="198"/>
      <c r="AU156" s="198"/>
      <c r="AV156" s="198"/>
      <c r="AW156" s="198"/>
      <c r="AX156" s="198"/>
      <c r="AY156" s="198"/>
      <c r="AZ156" s="198"/>
      <c r="BA156" s="198"/>
      <c r="BB156" s="198"/>
      <c r="BC156" s="198"/>
      <c r="BD156" s="198"/>
      <c r="BE156" s="198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P156" s="198"/>
      <c r="BQ156" s="198"/>
    </row>
    <row r="157" ht="15.75" customHeight="1">
      <c r="A157" s="388" t="s">
        <v>450</v>
      </c>
      <c r="B157" s="146">
        <f>'Pomocná data III.PÚ M'!B7*'Pomocná data V. PAF'!C103</f>
        <v>0</v>
      </c>
      <c r="C157" s="146">
        <f>'Pomocná data III.PÚ M'!C7*'Pomocná data V. PAF'!D103</f>
        <v>0</v>
      </c>
      <c r="D157" s="146">
        <f>'Pomocná data III.PÚ M'!D7*'Pomocná data V. PAF'!E103</f>
        <v>1.621047866</v>
      </c>
      <c r="E157" s="146">
        <f>'Pomocná data III.PÚ M'!E7*'Pomocná data V. PAF'!F103</f>
        <v>1.141781802</v>
      </c>
      <c r="F157" s="146">
        <f>'Pomocná data III.PÚ M'!F7*'Pomocná data V. PAF'!G103</f>
        <v>0</v>
      </c>
      <c r="G157" s="146">
        <f>'Pomocná data III.PÚ M'!G7*'Pomocná data V. PAF'!H103</f>
        <v>0.2183072472</v>
      </c>
      <c r="H157" s="146">
        <f>'Pomocná data III.PÚ M'!H7*'Pomocná data V. PAF'!I103</f>
        <v>0.3159646423</v>
      </c>
      <c r="I157" s="146">
        <f>'Pomocná data III.PÚ M'!I7*'Pomocná data V. PAF'!J103</f>
        <v>3</v>
      </c>
      <c r="J157" s="146">
        <f>'Pomocná data III.PÚ M'!J7*'Pomocná data V. PAF'!K103</f>
        <v>0</v>
      </c>
      <c r="K157" s="146">
        <f>'Pomocná data III.PÚ M'!K7*'Pomocná data V. PAF'!L103</f>
        <v>0</v>
      </c>
      <c r="L157" s="146">
        <f>'Pomocná data III.PÚ M'!L7*'Pomocná data V. PAF'!M103</f>
        <v>0</v>
      </c>
      <c r="M157" s="146"/>
      <c r="N157" s="146">
        <f>'Pomocná data III.PÚ M'!N7*'Pomocná data V. PAF'!O103</f>
        <v>0</v>
      </c>
      <c r="O157" s="146">
        <f>'Pomocná data III.PÚ M'!O7*'Pomocná data V. PAF'!P103</f>
        <v>0</v>
      </c>
      <c r="P157" s="146">
        <f>'Pomocná data III.PÚ M'!P7*'Pomocná data V. PAF'!Q103</f>
        <v>0</v>
      </c>
      <c r="Q157" s="146">
        <f>'Pomocná data III.PÚ M'!Q7*'Pomocná data V. PAF'!R103</f>
        <v>0.5555401645</v>
      </c>
      <c r="R157" s="146"/>
      <c r="S157" s="146">
        <f>'Pomocná data III.PÚ M'!S7*'Pomocná data V. PAF'!T103</f>
        <v>0</v>
      </c>
      <c r="T157" s="146">
        <f>'Pomocná data III.PÚ M'!T7*'Pomocná data V. PAF'!U103</f>
        <v>0.6189814796</v>
      </c>
      <c r="U157" s="146">
        <f>'Pomocná data III.PÚ M'!U7*'Pomocná data V. PAF'!V103</f>
        <v>0.505695329</v>
      </c>
      <c r="V157" s="146">
        <f t="shared" si="39"/>
        <v>7.977318531</v>
      </c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  <c r="AT157" s="198"/>
      <c r="AU157" s="198"/>
      <c r="AV157" s="198"/>
      <c r="AW157" s="198"/>
      <c r="AX157" s="198"/>
      <c r="AY157" s="198"/>
      <c r="AZ157" s="198"/>
      <c r="BA157" s="198"/>
      <c r="BB157" s="198"/>
      <c r="BC157" s="198"/>
      <c r="BD157" s="198"/>
      <c r="BE157" s="198"/>
      <c r="BF157" s="198"/>
      <c r="BG157" s="198"/>
      <c r="BH157" s="198"/>
      <c r="BI157" s="198"/>
      <c r="BJ157" s="198"/>
      <c r="BK157" s="198"/>
      <c r="BL157" s="198"/>
      <c r="BM157" s="198"/>
      <c r="BN157" s="198"/>
      <c r="BO157" s="198"/>
      <c r="BP157" s="198"/>
      <c r="BQ157" s="198"/>
    </row>
    <row r="158" ht="15.75" customHeight="1">
      <c r="A158" s="388" t="s">
        <v>451</v>
      </c>
      <c r="B158" s="146">
        <f>'Pomocná data III.PÚ M'!B8*'Pomocná data V. PAF'!C104</f>
        <v>0.4578856387</v>
      </c>
      <c r="C158" s="146">
        <f>'Pomocná data III.PÚ M'!C8*'Pomocná data V. PAF'!D104</f>
        <v>0</v>
      </c>
      <c r="D158" s="146">
        <f>'Pomocná data III.PÚ M'!D8*'Pomocná data V. PAF'!E104</f>
        <v>1.863343589</v>
      </c>
      <c r="E158" s="146">
        <f>'Pomocná data III.PÚ M'!E8*'Pomocná data V. PAF'!F104</f>
        <v>7.887391341</v>
      </c>
      <c r="F158" s="146">
        <f>'Pomocná data III.PÚ M'!F8*'Pomocná data V. PAF'!G104</f>
        <v>0</v>
      </c>
      <c r="G158" s="146">
        <f>'Pomocná data III.PÚ M'!G8*'Pomocná data V. PAF'!H104</f>
        <v>0.4932218056</v>
      </c>
      <c r="H158" s="146">
        <f>'Pomocná data III.PÚ M'!H8*'Pomocná data V. PAF'!I104</f>
        <v>0.705057724</v>
      </c>
      <c r="I158" s="146">
        <f>'Pomocná data III.PÚ M'!I8*'Pomocná data V. PAF'!J104</f>
        <v>3</v>
      </c>
      <c r="J158" s="146">
        <f>'Pomocná data III.PÚ M'!J8*'Pomocná data V. PAF'!K104</f>
        <v>0.5387240746</v>
      </c>
      <c r="K158" s="146">
        <f>'Pomocná data III.PÚ M'!K8*'Pomocná data V. PAF'!L104</f>
        <v>0</v>
      </c>
      <c r="L158" s="146">
        <f>'Pomocná data III.PÚ M'!L8*'Pomocná data V. PAF'!M104</f>
        <v>1.37876397</v>
      </c>
      <c r="M158" s="146"/>
      <c r="N158" s="146">
        <f>'Pomocná data III.PÚ M'!N8*'Pomocná data V. PAF'!O104</f>
        <v>0.579473939</v>
      </c>
      <c r="O158" s="146">
        <f>'Pomocná data III.PÚ M'!O8*'Pomocná data V. PAF'!P104</f>
        <v>0</v>
      </c>
      <c r="P158" s="146">
        <f>'Pomocná data III.PÚ M'!P8*'Pomocná data V. PAF'!Q104</f>
        <v>0.9990929221</v>
      </c>
      <c r="Q158" s="146">
        <f>'Pomocná data III.PÚ M'!Q8*'Pomocná data V. PAF'!R104</f>
        <v>1.68456702</v>
      </c>
      <c r="R158" s="146"/>
      <c r="S158" s="146">
        <f>'Pomocná data III.PÚ M'!S8*'Pomocná data V. PAF'!T104</f>
        <v>0.4870162506</v>
      </c>
      <c r="T158" s="146">
        <f>'Pomocná data III.PÚ M'!T8*'Pomocná data V. PAF'!U104</f>
        <v>2.660658192</v>
      </c>
      <c r="U158" s="146">
        <f>'Pomocná data III.PÚ M'!U8*'Pomocná data V. PAF'!V104</f>
        <v>0.6612199077</v>
      </c>
      <c r="V158" s="146">
        <f t="shared" si="39"/>
        <v>23.39641637</v>
      </c>
      <c r="W158" s="198"/>
      <c r="X158" s="198"/>
      <c r="Y158" s="198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  <c r="AK158" s="198"/>
      <c r="AL158" s="198"/>
      <c r="AM158" s="198"/>
      <c r="AN158" s="198"/>
      <c r="AO158" s="198"/>
      <c r="AP158" s="198"/>
      <c r="AQ158" s="198"/>
      <c r="AR158" s="198"/>
      <c r="AS158" s="198"/>
      <c r="AT158" s="198"/>
      <c r="AU158" s="198"/>
      <c r="AV158" s="198"/>
      <c r="AW158" s="198"/>
      <c r="AX158" s="198"/>
      <c r="AY158" s="198"/>
      <c r="AZ158" s="198"/>
      <c r="BA158" s="198"/>
      <c r="BB158" s="198"/>
      <c r="BC158" s="198"/>
      <c r="BD158" s="198"/>
      <c r="BE158" s="198"/>
      <c r="BF158" s="198"/>
      <c r="BG158" s="198"/>
      <c r="BH158" s="198"/>
      <c r="BI158" s="198"/>
      <c r="BJ158" s="198"/>
      <c r="BK158" s="198"/>
      <c r="BL158" s="198"/>
      <c r="BM158" s="198"/>
      <c r="BN158" s="198"/>
      <c r="BO158" s="198"/>
      <c r="BP158" s="198"/>
      <c r="BQ158" s="198"/>
    </row>
    <row r="159" ht="15.75" customHeight="1">
      <c r="A159" s="388" t="s">
        <v>452</v>
      </c>
      <c r="B159" s="146">
        <f>'Pomocná data III.PÚ M'!B9*'Pomocná data V. PAF'!C105</f>
        <v>0</v>
      </c>
      <c r="C159" s="146">
        <f>'Pomocná data III.PÚ M'!C9*'Pomocná data V. PAF'!D105</f>
        <v>0</v>
      </c>
      <c r="D159" s="146">
        <f>'Pomocná data III.PÚ M'!D9*'Pomocná data V. PAF'!E105</f>
        <v>3.30696908</v>
      </c>
      <c r="E159" s="146">
        <f>'Pomocná data III.PÚ M'!E9*'Pomocná data V. PAF'!F105</f>
        <v>26.37051272</v>
      </c>
      <c r="F159" s="146">
        <f>'Pomocná data III.PÚ M'!F9*'Pomocná data V. PAF'!G105</f>
        <v>0</v>
      </c>
      <c r="G159" s="146">
        <f>'Pomocná data III.PÚ M'!G9*'Pomocná data V. PAF'!H105</f>
        <v>1.268931352</v>
      </c>
      <c r="H159" s="146">
        <f>'Pomocná data III.PÚ M'!H9*'Pomocná data V. PAF'!I105</f>
        <v>1.799598528</v>
      </c>
      <c r="I159" s="146">
        <f>'Pomocná data III.PÚ M'!I9*'Pomocná data V. PAF'!J105</f>
        <v>0</v>
      </c>
      <c r="J159" s="146">
        <f>'Pomocná data III.PÚ M'!J9*'Pomocná data V. PAF'!K105</f>
        <v>0</v>
      </c>
      <c r="K159" s="146">
        <f>'Pomocná data III.PÚ M'!K9*'Pomocná data V. PAF'!L105</f>
        <v>0</v>
      </c>
      <c r="L159" s="146">
        <f>'Pomocná data III.PÚ M'!L9*'Pomocná data V. PAF'!M105</f>
        <v>3.019842879</v>
      </c>
      <c r="M159" s="146"/>
      <c r="N159" s="146">
        <f>'Pomocná data III.PÚ M'!N9*'Pomocná data V. PAF'!O105</f>
        <v>1.775530053</v>
      </c>
      <c r="O159" s="146">
        <f>'Pomocná data III.PÚ M'!O9*'Pomocná data V. PAF'!P105</f>
        <v>0</v>
      </c>
      <c r="P159" s="146">
        <f>'Pomocná data III.PÚ M'!P9*'Pomocná data V. PAF'!Q105</f>
        <v>4.476253174</v>
      </c>
      <c r="Q159" s="146">
        <f>'Pomocná data III.PÚ M'!Q9*'Pomocná data V. PAF'!R105</f>
        <v>3.015195325</v>
      </c>
      <c r="R159" s="146"/>
      <c r="S159" s="146">
        <f>'Pomocná data III.PÚ M'!S9*'Pomocná data V. PAF'!T105</f>
        <v>0.5627919572</v>
      </c>
      <c r="T159" s="146">
        <f>'Pomocná data III.PÚ M'!T9*'Pomocná data V. PAF'!U105</f>
        <v>4.223122316</v>
      </c>
      <c r="U159" s="146">
        <f>'Pomocná data III.PÚ M'!U9*'Pomocná data V. PAF'!V105</f>
        <v>1.259911235</v>
      </c>
      <c r="V159" s="146">
        <f t="shared" si="39"/>
        <v>51.07865862</v>
      </c>
      <c r="W159" s="198"/>
      <c r="X159" s="198"/>
      <c r="Y159" s="198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  <c r="AK159" s="198"/>
      <c r="AL159" s="198"/>
      <c r="AM159" s="198"/>
      <c r="AN159" s="198"/>
      <c r="AO159" s="198"/>
      <c r="AP159" s="198"/>
      <c r="AQ159" s="198"/>
      <c r="AR159" s="198"/>
      <c r="AS159" s="198"/>
      <c r="AT159" s="198"/>
      <c r="AU159" s="198"/>
      <c r="AV159" s="198"/>
      <c r="AW159" s="198"/>
      <c r="AX159" s="198"/>
      <c r="AY159" s="198"/>
      <c r="AZ159" s="198"/>
      <c r="BA159" s="198"/>
      <c r="BB159" s="198"/>
      <c r="BC159" s="198"/>
      <c r="BD159" s="198"/>
      <c r="BE159" s="198"/>
      <c r="BF159" s="198"/>
      <c r="BG159" s="198"/>
      <c r="BH159" s="198"/>
      <c r="BI159" s="198"/>
      <c r="BJ159" s="198"/>
      <c r="BK159" s="198"/>
      <c r="BL159" s="198"/>
      <c r="BM159" s="198"/>
      <c r="BN159" s="198"/>
      <c r="BO159" s="198"/>
      <c r="BP159" s="198"/>
      <c r="BQ159" s="198"/>
    </row>
    <row r="160" ht="15.75" customHeight="1">
      <c r="A160" s="388" t="s">
        <v>453</v>
      </c>
      <c r="B160" s="146">
        <f>'Pomocná data III.PÚ M'!B10*'Pomocná data V. PAF'!C106</f>
        <v>0</v>
      </c>
      <c r="C160" s="146">
        <f>'Pomocná data III.PÚ M'!C10*'Pomocná data V. PAF'!D106</f>
        <v>0</v>
      </c>
      <c r="D160" s="146">
        <f>'Pomocná data III.PÚ M'!D10*'Pomocná data V. PAF'!E106</f>
        <v>6.248414654</v>
      </c>
      <c r="E160" s="146">
        <f>'Pomocná data III.PÚ M'!E10*'Pomocná data V. PAF'!F106</f>
        <v>49.10346821</v>
      </c>
      <c r="F160" s="146">
        <f>'Pomocná data III.PÚ M'!F10*'Pomocná data V. PAF'!G106</f>
        <v>0</v>
      </c>
      <c r="G160" s="146">
        <f>'Pomocná data III.PÚ M'!G10*'Pomocná data V. PAF'!H106</f>
        <v>1.316429316</v>
      </c>
      <c r="H160" s="146">
        <f>'Pomocná data III.PÚ M'!H10*'Pomocná data V. PAF'!I106</f>
        <v>1.852696757</v>
      </c>
      <c r="I160" s="146">
        <f>'Pomocná data III.PÚ M'!I10*'Pomocná data V. PAF'!J106</f>
        <v>3</v>
      </c>
      <c r="J160" s="146">
        <f>'Pomocná data III.PÚ M'!J10*'Pomocná data V. PAF'!K106</f>
        <v>0.6979742173</v>
      </c>
      <c r="K160" s="146">
        <f>'Pomocná data III.PÚ M'!K10*'Pomocná data V. PAF'!L106</f>
        <v>0</v>
      </c>
      <c r="L160" s="146">
        <f>'Pomocná data III.PÚ M'!L10*'Pomocná data V. PAF'!M106</f>
        <v>7.031381161</v>
      </c>
      <c r="M160" s="146"/>
      <c r="N160" s="146">
        <f>'Pomocná data III.PÚ M'!N10*'Pomocná data V. PAF'!O106</f>
        <v>3.984605276</v>
      </c>
      <c r="O160" s="146">
        <f>'Pomocná data III.PÚ M'!O10*'Pomocná data V. PAF'!P106</f>
        <v>0</v>
      </c>
      <c r="P160" s="146">
        <f>'Pomocná data III.PÚ M'!P10*'Pomocná data V. PAF'!Q106</f>
        <v>9.812877769</v>
      </c>
      <c r="Q160" s="146">
        <f>'Pomocná data III.PÚ M'!Q10*'Pomocná data V. PAF'!R106</f>
        <v>5.49138585</v>
      </c>
      <c r="R160" s="146"/>
      <c r="S160" s="146">
        <f>'Pomocná data III.PÚ M'!S10*'Pomocná data V. PAF'!T106</f>
        <v>1.058207141</v>
      </c>
      <c r="T160" s="146">
        <f>'Pomocná data III.PÚ M'!T10*'Pomocná data V. PAF'!U106</f>
        <v>11.03185381</v>
      </c>
      <c r="U160" s="146">
        <f>'Pomocná data III.PÚ M'!U10*'Pomocná data V. PAF'!V106</f>
        <v>1.688519485</v>
      </c>
      <c r="V160" s="146">
        <f t="shared" si="39"/>
        <v>102.3178136</v>
      </c>
      <c r="W160" s="198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198"/>
      <c r="AT160" s="198"/>
      <c r="AU160" s="198"/>
      <c r="AV160" s="198"/>
      <c r="AW160" s="198"/>
      <c r="AX160" s="198"/>
      <c r="AY160" s="198"/>
      <c r="AZ160" s="198"/>
      <c r="BA160" s="198"/>
      <c r="BB160" s="198"/>
      <c r="BC160" s="198"/>
      <c r="BD160" s="198"/>
      <c r="BE160" s="198"/>
      <c r="BF160" s="198"/>
      <c r="BG160" s="198"/>
      <c r="BH160" s="198"/>
      <c r="BI160" s="198"/>
      <c r="BJ160" s="198"/>
      <c r="BK160" s="198"/>
      <c r="BL160" s="198"/>
      <c r="BM160" s="198"/>
      <c r="BN160" s="198"/>
      <c r="BO160" s="198"/>
      <c r="BP160" s="198"/>
      <c r="BQ160" s="198"/>
    </row>
    <row r="161" ht="15.75" customHeight="1">
      <c r="A161" s="388" t="s">
        <v>454</v>
      </c>
      <c r="B161" s="146">
        <f>'Pomocná data III.PÚ M'!B11*'Pomocná data V. PAF'!C107</f>
        <v>0.6692964771</v>
      </c>
      <c r="C161" s="146">
        <f>'Pomocná data III.PÚ M'!C11*'Pomocná data V. PAF'!D107</f>
        <v>0</v>
      </c>
      <c r="D161" s="146">
        <f>'Pomocná data III.PÚ M'!D11*'Pomocná data V. PAF'!E107</f>
        <v>9.402444677</v>
      </c>
      <c r="E161" s="146">
        <f>'Pomocná data III.PÚ M'!E11*'Pomocná data V. PAF'!F107</f>
        <v>111.1152126</v>
      </c>
      <c r="F161" s="146">
        <f>'Pomocná data III.PÚ M'!F11*'Pomocná data V. PAF'!G107</f>
        <v>0</v>
      </c>
      <c r="G161" s="146">
        <f>'Pomocná data III.PÚ M'!G11*'Pomocná data V. PAF'!H107</f>
        <v>1.485593624</v>
      </c>
      <c r="H161" s="146">
        <f>'Pomocná data III.PÚ M'!H11*'Pomocná data V. PAF'!I107</f>
        <v>2.074311258</v>
      </c>
      <c r="I161" s="146">
        <f>'Pomocná data III.PÚ M'!I11*'Pomocná data V. PAF'!J107</f>
        <v>3</v>
      </c>
      <c r="J161" s="146">
        <f>'Pomocná data III.PÚ M'!J11*'Pomocná data V. PAF'!K107</f>
        <v>0.7760645238</v>
      </c>
      <c r="K161" s="146">
        <f>'Pomocná data III.PÚ M'!K11*'Pomocná data V. PAF'!L107</f>
        <v>0</v>
      </c>
      <c r="L161" s="146">
        <f>'Pomocná data III.PÚ M'!L11*'Pomocná data V. PAF'!M107</f>
        <v>7.481833559</v>
      </c>
      <c r="M161" s="146"/>
      <c r="N161" s="146">
        <f>'Pomocná data III.PÚ M'!N11*'Pomocná data V. PAF'!O107</f>
        <v>9.392187019</v>
      </c>
      <c r="O161" s="146">
        <f>'Pomocná data III.PÚ M'!O11*'Pomocná data V. PAF'!P107</f>
        <v>0</v>
      </c>
      <c r="P161" s="146">
        <f>'Pomocná data III.PÚ M'!P11*'Pomocná data V. PAF'!Q107</f>
        <v>20.38845476</v>
      </c>
      <c r="Q161" s="146">
        <f>'Pomocná data III.PÚ M'!Q11*'Pomocná data V. PAF'!R107</f>
        <v>8.055963568</v>
      </c>
      <c r="R161" s="146"/>
      <c r="S161" s="146">
        <f>'Pomocná data III.PÚ M'!S11*'Pomocná data V. PAF'!T107</f>
        <v>2.360434691</v>
      </c>
      <c r="T161" s="146">
        <f>'Pomocná data III.PÚ M'!T11*'Pomocná data V. PAF'!U107</f>
        <v>21.61007057</v>
      </c>
      <c r="U161" s="146">
        <f>'Pomocná data III.PÚ M'!U11*'Pomocná data V. PAF'!V107</f>
        <v>9.94229152</v>
      </c>
      <c r="V161" s="146">
        <f t="shared" si="39"/>
        <v>207.7541588</v>
      </c>
      <c r="W161" s="198"/>
      <c r="X161" s="198"/>
      <c r="Y161" s="198"/>
      <c r="Z161" s="198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  <c r="AK161" s="198"/>
      <c r="AL161" s="198"/>
      <c r="AM161" s="198"/>
      <c r="AN161" s="198"/>
      <c r="AO161" s="198"/>
      <c r="AP161" s="198"/>
      <c r="AQ161" s="198"/>
      <c r="AR161" s="198"/>
      <c r="AS161" s="198"/>
      <c r="AT161" s="198"/>
      <c r="AU161" s="198"/>
      <c r="AV161" s="198"/>
      <c r="AW161" s="198"/>
      <c r="AX161" s="198"/>
      <c r="AY161" s="198"/>
      <c r="AZ161" s="198"/>
      <c r="BA161" s="198"/>
      <c r="BB161" s="198"/>
      <c r="BC161" s="198"/>
      <c r="BD161" s="198"/>
      <c r="BE161" s="198"/>
      <c r="BF161" s="198"/>
      <c r="BG161" s="198"/>
      <c r="BH161" s="198"/>
      <c r="BI161" s="198"/>
      <c r="BJ161" s="198"/>
      <c r="BK161" s="198"/>
      <c r="BL161" s="198"/>
      <c r="BM161" s="198"/>
      <c r="BN161" s="198"/>
      <c r="BO161" s="198"/>
      <c r="BP161" s="198"/>
      <c r="BQ161" s="198"/>
    </row>
    <row r="162" ht="15.75" customHeight="1">
      <c r="A162" s="388" t="s">
        <v>455</v>
      </c>
      <c r="B162" s="146">
        <f>'Pomocná data III.PÚ M'!B12*'Pomocná data V. PAF'!C108</f>
        <v>0.6764269643</v>
      </c>
      <c r="C162" s="146">
        <f>'Pomocná data III.PÚ M'!C12*'Pomocná data V. PAF'!D108</f>
        <v>0</v>
      </c>
      <c r="D162" s="146">
        <f>'Pomocná data III.PÚ M'!D12*'Pomocná data V. PAF'!E108</f>
        <v>32.66959445</v>
      </c>
      <c r="E162" s="146">
        <f>'Pomocná data III.PÚ M'!E12*'Pomocná data V. PAF'!F108</f>
        <v>179.251331</v>
      </c>
      <c r="F162" s="146">
        <f>'Pomocná data III.PÚ M'!F12*'Pomocná data V. PAF'!G108</f>
        <v>0</v>
      </c>
      <c r="G162" s="146">
        <f>'Pomocná data III.PÚ M'!G12*'Pomocná data V. PAF'!H108</f>
        <v>1.953844062</v>
      </c>
      <c r="H162" s="146">
        <f>'Pomocná data III.PÚ M'!H12*'Pomocná data V. PAF'!I108</f>
        <v>2.725919135</v>
      </c>
      <c r="I162" s="146">
        <f>'Pomocná data III.PÚ M'!I12*'Pomocná data V. PAF'!J108</f>
        <v>3</v>
      </c>
      <c r="J162" s="146">
        <f>'Pomocná data III.PÚ M'!J12*'Pomocná data V. PAF'!K108</f>
        <v>0</v>
      </c>
      <c r="K162" s="146">
        <f>'Pomocná data III.PÚ M'!K12*'Pomocná data V. PAF'!L108</f>
        <v>0</v>
      </c>
      <c r="L162" s="146">
        <f>'Pomocná data III.PÚ M'!L12*'Pomocná data V. PAF'!M108</f>
        <v>12.15605147</v>
      </c>
      <c r="M162" s="146"/>
      <c r="N162" s="146">
        <f>'Pomocná data III.PÚ M'!N12*'Pomocná data V. PAF'!O108</f>
        <v>13.67004344</v>
      </c>
      <c r="O162" s="146">
        <f>'Pomocná data III.PÚ M'!O12*'Pomocná data V. PAF'!P108</f>
        <v>0</v>
      </c>
      <c r="P162" s="146">
        <f>'Pomocná data III.PÚ M'!P12*'Pomocná data V. PAF'!Q108</f>
        <v>30.81548023</v>
      </c>
      <c r="Q162" s="146">
        <f>'Pomocná data III.PÚ M'!Q12*'Pomocná data V. PAF'!R108</f>
        <v>14.22617154</v>
      </c>
      <c r="R162" s="146"/>
      <c r="S162" s="146">
        <f>'Pomocná data III.PÚ M'!S12*'Pomocná data V. PAF'!T108</f>
        <v>3.339222144</v>
      </c>
      <c r="T162" s="146">
        <f>'Pomocná data III.PÚ M'!T12*'Pomocná data V. PAF'!U108</f>
        <v>33.25042641</v>
      </c>
      <c r="U162" s="146">
        <f>'Pomocná data III.PÚ M'!U12*'Pomocná data V. PAF'!V108</f>
        <v>14.42697709</v>
      </c>
      <c r="V162" s="146">
        <f t="shared" si="39"/>
        <v>342.1614879</v>
      </c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  <c r="AZ162" s="198"/>
      <c r="BA162" s="198"/>
      <c r="BB162" s="198"/>
      <c r="BC162" s="198"/>
      <c r="BD162" s="198"/>
      <c r="BE162" s="198"/>
      <c r="BF162" s="198"/>
      <c r="BG162" s="198"/>
      <c r="BH162" s="198"/>
      <c r="BI162" s="198"/>
      <c r="BJ162" s="198"/>
      <c r="BK162" s="198"/>
      <c r="BL162" s="198"/>
      <c r="BM162" s="198"/>
      <c r="BN162" s="198"/>
      <c r="BO162" s="198"/>
      <c r="BP162" s="198"/>
      <c r="BQ162" s="198"/>
    </row>
    <row r="163" ht="15.75" customHeight="1">
      <c r="A163" s="388" t="s">
        <v>456</v>
      </c>
      <c r="B163" s="146">
        <f>'Pomocná data III.PÚ M'!B13*'Pomocná data V. PAF'!C109</f>
        <v>0.6764269643</v>
      </c>
      <c r="C163" s="146">
        <f>'Pomocná data III.PÚ M'!C13*'Pomocná data V. PAF'!D109</f>
        <v>0</v>
      </c>
      <c r="D163" s="146">
        <f>'Pomocná data III.PÚ M'!D13*'Pomocná data V. PAF'!E109</f>
        <v>68.24315286</v>
      </c>
      <c r="E163" s="146">
        <f>'Pomocná data III.PÚ M'!E13*'Pomocná data V. PAF'!F109</f>
        <v>360.5032349</v>
      </c>
      <c r="F163" s="146">
        <f>'Pomocná data III.PÚ M'!F13*'Pomocná data V. PAF'!G109</f>
        <v>0</v>
      </c>
      <c r="G163" s="146">
        <f>'Pomocná data III.PÚ M'!G13*'Pomocná data V. PAF'!H109</f>
        <v>2.555026851</v>
      </c>
      <c r="H163" s="146">
        <f>'Pomocná data III.PÚ M'!H13*'Pomocná data V. PAF'!I109</f>
        <v>3.564663484</v>
      </c>
      <c r="I163" s="146">
        <f>'Pomocná data III.PÚ M'!I13*'Pomocná data V. PAF'!J109</f>
        <v>9</v>
      </c>
      <c r="J163" s="146">
        <f>'Pomocná data III.PÚ M'!J13*'Pomocná data V. PAF'!K109</f>
        <v>1.567899775</v>
      </c>
      <c r="K163" s="146">
        <f>'Pomocná data III.PÚ M'!K13*'Pomocná data V. PAF'!L109</f>
        <v>0</v>
      </c>
      <c r="L163" s="146">
        <f>'Pomocná data III.PÚ M'!L13*'Pomocná data V. PAF'!M109</f>
        <v>19.1023666</v>
      </c>
      <c r="M163" s="146"/>
      <c r="N163" s="146">
        <f>'Pomocná data III.PÚ M'!N13*'Pomocná data V. PAF'!O109</f>
        <v>20.08659444</v>
      </c>
      <c r="O163" s="146">
        <f>'Pomocná data III.PÚ M'!O13*'Pomocná data V. PAF'!P109</f>
        <v>0</v>
      </c>
      <c r="P163" s="146">
        <f>'Pomocná data III.PÚ M'!P13*'Pomocná data V. PAF'!Q109</f>
        <v>66.54357324</v>
      </c>
      <c r="Q163" s="146">
        <f>'Pomocná data III.PÚ M'!Q13*'Pomocná data V. PAF'!R109</f>
        <v>30.48465331</v>
      </c>
      <c r="R163" s="146"/>
      <c r="S163" s="146">
        <f>'Pomocná data III.PÚ M'!S13*'Pomocná data V. PAF'!T109</f>
        <v>7.632507758</v>
      </c>
      <c r="T163" s="146">
        <f>'Pomocná data III.PÚ M'!T13*'Pomocná data V. PAF'!U109</f>
        <v>67.97864955</v>
      </c>
      <c r="U163" s="146">
        <f>'Pomocná data III.PÚ M'!U13*'Pomocná data V. PAF'!V109</f>
        <v>27.91306437</v>
      </c>
      <c r="V163" s="146">
        <f t="shared" si="39"/>
        <v>685.8518141</v>
      </c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98"/>
      <c r="BD163" s="198"/>
      <c r="BE163" s="198"/>
      <c r="BF163" s="198"/>
      <c r="BG163" s="198"/>
      <c r="BH163" s="198"/>
      <c r="BI163" s="198"/>
      <c r="BJ163" s="198"/>
      <c r="BK163" s="198"/>
      <c r="BL163" s="198"/>
      <c r="BM163" s="198"/>
      <c r="BN163" s="198"/>
      <c r="BO163" s="198"/>
      <c r="BP163" s="198"/>
      <c r="BQ163" s="198"/>
    </row>
    <row r="164" ht="15.75" customHeight="1">
      <c r="A164" s="389" t="s">
        <v>457</v>
      </c>
      <c r="B164" s="390">
        <f>'Pomocná data III.PÚ M'!B14*'Pomocná data V. PAF'!C110</f>
        <v>1.470187324</v>
      </c>
      <c r="C164" s="390">
        <f>'Pomocná data III.PÚ M'!C14*'Pomocná data V. PAF'!D110</f>
        <v>0</v>
      </c>
      <c r="D164" s="390">
        <f>'Pomocná data III.PÚ M'!D14*'Pomocná data V. PAF'!E110</f>
        <v>147.176705</v>
      </c>
      <c r="E164" s="390">
        <f>'Pomocná data III.PÚ M'!E14*'Pomocná data V. PAF'!F110</f>
        <v>455.6672164</v>
      </c>
      <c r="F164" s="390">
        <f>'Pomocná data III.PÚ M'!F14*'Pomocná data V. PAF'!G110</f>
        <v>0</v>
      </c>
      <c r="G164" s="390">
        <f>'Pomocná data III.PÚ M'!G14*'Pomocná data V. PAF'!H110</f>
        <v>4.933849402</v>
      </c>
      <c r="H164" s="390">
        <f>'Pomocná data III.PÚ M'!H14*'Pomocná data V. PAF'!I110</f>
        <v>6.980750083</v>
      </c>
      <c r="I164" s="390">
        <f>'Pomocná data III.PÚ M'!I14*'Pomocná data V. PAF'!J110</f>
        <v>7</v>
      </c>
      <c r="J164" s="390">
        <f>'Pomocná data III.PÚ M'!J14*'Pomocná data V. PAF'!K110</f>
        <v>3.007537688</v>
      </c>
      <c r="K164" s="390">
        <f>'Pomocná data III.PÚ M'!K14*'Pomocná data V. PAF'!L110</f>
        <v>0</v>
      </c>
      <c r="L164" s="390">
        <f>'Pomocná data III.PÚ M'!L14*'Pomocná data V. PAF'!M110</f>
        <v>27.309881</v>
      </c>
      <c r="M164" s="390"/>
      <c r="N164" s="390">
        <f>'Pomocná data III.PÚ M'!N14*'Pomocná data V. PAF'!O110</f>
        <v>27.8693477</v>
      </c>
      <c r="O164" s="390">
        <f>'Pomocná data III.PÚ M'!O14*'Pomocná data V. PAF'!P110</f>
        <v>0</v>
      </c>
      <c r="P164" s="390">
        <f>'Pomocná data III.PÚ M'!P14*'Pomocná data V. PAF'!Q110</f>
        <v>81.08589108</v>
      </c>
      <c r="Q164" s="390">
        <f>'Pomocná data III.PÚ M'!Q14*'Pomocná data V. PAF'!R110</f>
        <v>57.883895</v>
      </c>
      <c r="R164" s="390"/>
      <c r="S164" s="390">
        <f>'Pomocná data III.PÚ M'!S14*'Pomocná data V. PAF'!T110</f>
        <v>10.92050714</v>
      </c>
      <c r="T164" s="390">
        <f>'Pomocná data III.PÚ M'!T14*'Pomocná data V. PAF'!U110</f>
        <v>83.26122561</v>
      </c>
      <c r="U164" s="390">
        <f>'Pomocná data III.PÚ M'!U14*'Pomocná data V. PAF'!V110</f>
        <v>39.69026156</v>
      </c>
      <c r="V164" s="390">
        <f t="shared" si="39"/>
        <v>954.257255</v>
      </c>
      <c r="W164" s="383"/>
      <c r="X164" s="383"/>
      <c r="Y164" s="383"/>
      <c r="Z164" s="383"/>
      <c r="AA164" s="383"/>
      <c r="AB164" s="383"/>
      <c r="AC164" s="383"/>
      <c r="AD164" s="383"/>
      <c r="AE164" s="383"/>
      <c r="AF164" s="383"/>
      <c r="AG164" s="383"/>
      <c r="AH164" s="383"/>
      <c r="AI164" s="383"/>
      <c r="AJ164" s="383"/>
      <c r="AK164" s="383"/>
      <c r="AL164" s="383"/>
      <c r="AM164" s="383"/>
      <c r="AN164" s="383"/>
      <c r="AO164" s="383"/>
      <c r="AP164" s="383"/>
      <c r="AQ164" s="383"/>
      <c r="AR164" s="383"/>
      <c r="AS164" s="383"/>
      <c r="AT164" s="383"/>
      <c r="AU164" s="383"/>
      <c r="AV164" s="383"/>
      <c r="AW164" s="383"/>
      <c r="AX164" s="383"/>
      <c r="AY164" s="383"/>
      <c r="AZ164" s="198"/>
      <c r="BA164" s="198"/>
      <c r="BB164" s="198"/>
      <c r="BC164" s="198"/>
      <c r="BD164" s="198"/>
      <c r="BE164" s="198"/>
      <c r="BF164" s="198"/>
      <c r="BG164" s="198"/>
      <c r="BH164" s="198"/>
      <c r="BI164" s="198"/>
      <c r="BJ164" s="198"/>
      <c r="BK164" s="198"/>
      <c r="BL164" s="198"/>
      <c r="BM164" s="198"/>
      <c r="BN164" s="198"/>
      <c r="BO164" s="198"/>
      <c r="BP164" s="198"/>
      <c r="BQ164" s="198"/>
    </row>
    <row r="165" ht="15.75" customHeight="1">
      <c r="A165" s="389" t="s">
        <v>458</v>
      </c>
      <c r="B165" s="390">
        <f>'Pomocná data III.PÚ M'!B15*'Pomocná data V. PAF'!C111</f>
        <v>1.013684665</v>
      </c>
      <c r="C165" s="390">
        <f>'Pomocná data III.PÚ M'!C15*'Pomocná data V. PAF'!D111</f>
        <v>0</v>
      </c>
      <c r="D165" s="390">
        <f>'Pomocná data III.PÚ M'!D15*'Pomocná data V. PAF'!E111</f>
        <v>187.6045554</v>
      </c>
      <c r="E165" s="390">
        <f>'Pomocná data III.PÚ M'!E15*'Pomocná data V. PAF'!F111</f>
        <v>558.3153466</v>
      </c>
      <c r="F165" s="390">
        <f>'Pomocná data III.PÚ M'!F15*'Pomocná data V. PAF'!G111</f>
        <v>0</v>
      </c>
      <c r="G165" s="390">
        <f>'Pomocná data III.PÚ M'!G15*'Pomocná data V. PAF'!H111</f>
        <v>4.837368271</v>
      </c>
      <c r="H165" s="390">
        <f>'Pomocná data III.PÚ M'!H15*'Pomocná data V. PAF'!I111</f>
        <v>6.877969762</v>
      </c>
      <c r="I165" s="390">
        <f>'Pomocná data III.PÚ M'!I15*'Pomocná data V. PAF'!J111</f>
        <v>5</v>
      </c>
      <c r="J165" s="390">
        <f>'Pomocná data III.PÚ M'!J15*'Pomocná data V. PAF'!K111</f>
        <v>3.962022068</v>
      </c>
      <c r="K165" s="390">
        <f>'Pomocná data III.PÚ M'!K15*'Pomocná data V. PAF'!L111</f>
        <v>1.745910274</v>
      </c>
      <c r="L165" s="390">
        <f>'Pomocná data III.PÚ M'!L15*'Pomocná data V. PAF'!M111</f>
        <v>32.32401064</v>
      </c>
      <c r="M165" s="390"/>
      <c r="N165" s="390">
        <f>'Pomocná data III.PÚ M'!N15*'Pomocná data V. PAF'!O111</f>
        <v>31.05747126</v>
      </c>
      <c r="O165" s="390">
        <f>'Pomocná data III.PÚ M'!O15*'Pomocná data V. PAF'!P111</f>
        <v>0</v>
      </c>
      <c r="P165" s="390">
        <f>'Pomocná data III.PÚ M'!P15*'Pomocná data V. PAF'!Q111</f>
        <v>82.17892502</v>
      </c>
      <c r="Q165" s="390">
        <f>'Pomocná data III.PÚ M'!Q15*'Pomocná data V. PAF'!R111</f>
        <v>59.80465888</v>
      </c>
      <c r="R165" s="390"/>
      <c r="S165" s="390">
        <f>'Pomocná data III.PÚ M'!S15*'Pomocná data V. PAF'!T111</f>
        <v>7.89694218</v>
      </c>
      <c r="T165" s="390">
        <f>'Pomocná data III.PÚ M'!T15*'Pomocná data V. PAF'!U111</f>
        <v>106.2707996</v>
      </c>
      <c r="U165" s="390">
        <f>'Pomocná data III.PÚ M'!U15*'Pomocná data V. PAF'!V111</f>
        <v>51.52545183</v>
      </c>
      <c r="V165" s="390">
        <f t="shared" si="39"/>
        <v>1140.415117</v>
      </c>
      <c r="W165" s="383"/>
      <c r="X165" s="383"/>
      <c r="Y165" s="383"/>
      <c r="Z165" s="383"/>
      <c r="AA165" s="383"/>
      <c r="AB165" s="383"/>
      <c r="AC165" s="383"/>
      <c r="AD165" s="383"/>
      <c r="AE165" s="383"/>
      <c r="AF165" s="383"/>
      <c r="AG165" s="383"/>
      <c r="AH165" s="383"/>
      <c r="AI165" s="383"/>
      <c r="AJ165" s="383"/>
      <c r="AK165" s="383"/>
      <c r="AL165" s="383"/>
      <c r="AM165" s="383"/>
      <c r="AN165" s="383"/>
      <c r="AO165" s="383"/>
      <c r="AP165" s="383"/>
      <c r="AQ165" s="383"/>
      <c r="AR165" s="383"/>
      <c r="AS165" s="383"/>
      <c r="AT165" s="383"/>
      <c r="AU165" s="383"/>
      <c r="AV165" s="383"/>
      <c r="AW165" s="383"/>
      <c r="AX165" s="383"/>
      <c r="AY165" s="383"/>
      <c r="AZ165" s="198"/>
      <c r="BA165" s="198"/>
      <c r="BB165" s="198"/>
      <c r="BC165" s="198"/>
      <c r="BD165" s="198"/>
      <c r="BE165" s="198"/>
      <c r="BF165" s="198"/>
      <c r="BG165" s="198"/>
      <c r="BH165" s="198"/>
      <c r="BI165" s="198"/>
      <c r="BJ165" s="198"/>
      <c r="BK165" s="198"/>
      <c r="BL165" s="198"/>
      <c r="BM165" s="198"/>
      <c r="BN165" s="198"/>
      <c r="BO165" s="198"/>
      <c r="BP165" s="198"/>
      <c r="BQ165" s="198"/>
    </row>
    <row r="166" ht="15.75" customHeight="1">
      <c r="A166" s="389" t="s">
        <v>459</v>
      </c>
      <c r="B166" s="390">
        <f>SUM('Pomocná data III.PÚ M'!B16:B20)*'Pomocná data V. PAF'!C112</f>
        <v>3.853326204</v>
      </c>
      <c r="C166" s="390">
        <f>SUM('Pomocná data III.PÚ M'!C16:C20)*'Pomocná data V. PAF'!D112</f>
        <v>1.001279181</v>
      </c>
      <c r="D166" s="390">
        <f>SUM('Pomocná data III.PÚ M'!D16:D20)*'Pomocná data V. PAF'!E112</f>
        <v>529.4561691</v>
      </c>
      <c r="E166" s="390">
        <f>SUM('Pomocná data III.PÚ M'!E16:E20)*'Pomocná data V. PAF'!F112</f>
        <v>1798.354989</v>
      </c>
      <c r="F166" s="390">
        <f>SUM('Pomocná data III.PÚ M'!F16:F20)*'Pomocná data V. PAF'!G112</f>
        <v>0</v>
      </c>
      <c r="G166" s="390">
        <f>SUM('Pomocná data III.PÚ M'!G16:G20)*'Pomocná data V. PAF'!H112</f>
        <v>7.424737456</v>
      </c>
      <c r="H166" s="390">
        <f>SUM('Pomocná data III.PÚ M'!H16:H20)*'Pomocná data V. PAF'!I112</f>
        <v>10.66573544</v>
      </c>
      <c r="I166" s="390">
        <f>SUM('Pomocná data III.PÚ M'!I16:I20)*'Pomocná data V. PAF'!J112</f>
        <v>0</v>
      </c>
      <c r="J166" s="390">
        <f>SUM('Pomocná data III.PÚ M'!J16:J20)*'Pomocná data V. PAF'!K112</f>
        <v>12.18172072</v>
      </c>
      <c r="K166" s="390">
        <f>SUM('Pomocná data III.PÚ M'!K16:K20)*'Pomocná data V. PAF'!L112</f>
        <v>0</v>
      </c>
      <c r="L166" s="390">
        <f>SUM('Pomocná data III.PÚ M'!L16:L20)*'Pomocná data V. PAF'!M112</f>
        <v>74.33792616</v>
      </c>
      <c r="M166" s="390"/>
      <c r="N166" s="390">
        <f>SUM('Pomocná data III.PÚ M'!N16:N20)*'Pomocná data V. PAF'!O112</f>
        <v>44.9712895</v>
      </c>
      <c r="O166" s="390">
        <f>SUM('Pomocná data III.PÚ M'!O16:O20)*'Pomocná data V. PAF'!P112</f>
        <v>0</v>
      </c>
      <c r="P166" s="390">
        <f>SUM('Pomocná data III.PÚ M'!P16:P20)*'Pomocná data V. PAF'!Q112</f>
        <v>100.2913657</v>
      </c>
      <c r="Q166" s="390">
        <f>SUM('Pomocná data III.PÚ M'!Q16:Q20)*'Pomocná data V. PAF'!R112</f>
        <v>116.1896657</v>
      </c>
      <c r="R166" s="390"/>
      <c r="S166" s="390">
        <f>SUM('Pomocná data III.PÚ M'!S16:S20)*'Pomocná data V. PAF'!T112</f>
        <v>18.6104805</v>
      </c>
      <c r="T166" s="390">
        <f>SUM('Pomocná data III.PÚ M'!T16:T20)*'Pomocná data V. PAF'!U112</f>
        <v>351.5238499</v>
      </c>
      <c r="U166" s="390">
        <f>SUM('Pomocná data III.PÚ M'!U16:U20)*'Pomocná data V. PAF'!V112</f>
        <v>169.0591773</v>
      </c>
      <c r="V166" s="390">
        <f t="shared" si="39"/>
        <v>3237.921712</v>
      </c>
      <c r="W166" s="383"/>
      <c r="X166" s="383"/>
      <c r="Y166" s="383"/>
      <c r="Z166" s="383"/>
      <c r="AA166" s="383"/>
      <c r="AB166" s="383"/>
      <c r="AC166" s="383"/>
      <c r="AD166" s="383"/>
      <c r="AE166" s="383"/>
      <c r="AF166" s="383"/>
      <c r="AG166" s="383"/>
      <c r="AH166" s="383"/>
      <c r="AI166" s="383"/>
      <c r="AJ166" s="383"/>
      <c r="AK166" s="383"/>
      <c r="AL166" s="383"/>
      <c r="AM166" s="383"/>
      <c r="AN166" s="383"/>
      <c r="AO166" s="383"/>
      <c r="AP166" s="383"/>
      <c r="AQ166" s="383"/>
      <c r="AR166" s="383"/>
      <c r="AS166" s="383"/>
      <c r="AT166" s="383"/>
      <c r="AU166" s="383"/>
      <c r="AV166" s="383"/>
      <c r="AW166" s="383"/>
      <c r="AX166" s="383"/>
      <c r="AY166" s="383"/>
      <c r="AZ166" s="198"/>
      <c r="BA166" s="198"/>
      <c r="BB166" s="198"/>
      <c r="BC166" s="198"/>
      <c r="BD166" s="198"/>
      <c r="BE166" s="198"/>
      <c r="BF166" s="198"/>
      <c r="BG166" s="198"/>
      <c r="BH166" s="198"/>
      <c r="BI166" s="198"/>
      <c r="BJ166" s="198"/>
      <c r="BK166" s="198"/>
      <c r="BL166" s="198"/>
      <c r="BM166" s="198"/>
      <c r="BN166" s="198"/>
      <c r="BO166" s="198"/>
      <c r="BP166" s="198"/>
      <c r="BQ166" s="198"/>
    </row>
    <row r="167" ht="15.75" customHeight="1">
      <c r="A167" s="391" t="s">
        <v>471</v>
      </c>
      <c r="B167" s="392">
        <f t="shared" ref="B167:L167" si="40">SUM(B154:B163)</f>
        <v>2.480036044</v>
      </c>
      <c r="C167" s="392">
        <f t="shared" si="40"/>
        <v>0</v>
      </c>
      <c r="D167" s="392">
        <f t="shared" si="40"/>
        <v>124.7138727</v>
      </c>
      <c r="E167" s="392">
        <f t="shared" si="40"/>
        <v>735.890417</v>
      </c>
      <c r="F167" s="392">
        <f t="shared" si="40"/>
        <v>0</v>
      </c>
      <c r="G167" s="392">
        <f t="shared" si="40"/>
        <v>9.550516135</v>
      </c>
      <c r="H167" s="392">
        <f t="shared" si="40"/>
        <v>13.41837972</v>
      </c>
      <c r="I167" s="392">
        <f t="shared" si="40"/>
        <v>24</v>
      </c>
      <c r="J167" s="392">
        <f t="shared" si="40"/>
        <v>3.777972008</v>
      </c>
      <c r="K167" s="392">
        <f t="shared" si="40"/>
        <v>0</v>
      </c>
      <c r="L167" s="392">
        <f t="shared" si="40"/>
        <v>51.07170896</v>
      </c>
      <c r="M167" s="392"/>
      <c r="N167" s="392">
        <f t="shared" ref="N167:Q167" si="41">SUM(N154:N163)</f>
        <v>49.62091362</v>
      </c>
      <c r="O167" s="392">
        <f t="shared" si="41"/>
        <v>0</v>
      </c>
      <c r="P167" s="392">
        <f t="shared" si="41"/>
        <v>133.0357321</v>
      </c>
      <c r="Q167" s="392">
        <f t="shared" si="41"/>
        <v>64.20496419</v>
      </c>
      <c r="R167" s="392"/>
      <c r="S167" s="392">
        <f t="shared" ref="S167:V167" si="42">SUM(S154:S163)</f>
        <v>15.44017994</v>
      </c>
      <c r="T167" s="392">
        <f t="shared" si="42"/>
        <v>142.3475125</v>
      </c>
      <c r="U167" s="392">
        <f t="shared" si="42"/>
        <v>56.39767893</v>
      </c>
      <c r="V167" s="392">
        <f t="shared" si="42"/>
        <v>1425.949884</v>
      </c>
      <c r="W167" s="13"/>
      <c r="X167" s="198"/>
      <c r="Y167" s="198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  <c r="AK167" s="198"/>
      <c r="AL167" s="198"/>
      <c r="AM167" s="198"/>
      <c r="AN167" s="198"/>
      <c r="AO167" s="198"/>
      <c r="AP167" s="198"/>
      <c r="AQ167" s="198"/>
      <c r="AR167" s="198"/>
      <c r="AS167" s="198"/>
      <c r="AT167" s="198"/>
      <c r="AU167" s="198"/>
      <c r="AV167" s="198"/>
      <c r="AW167" s="198"/>
      <c r="AX167" s="198"/>
      <c r="AY167" s="198"/>
      <c r="AZ167" s="198"/>
      <c r="BA167" s="198"/>
      <c r="BB167" s="198"/>
      <c r="BC167" s="198"/>
      <c r="BD167" s="198"/>
      <c r="BE167" s="198"/>
      <c r="BF167" s="198"/>
      <c r="BG167" s="198"/>
      <c r="BH167" s="198"/>
      <c r="BI167" s="198"/>
      <c r="BJ167" s="198"/>
      <c r="BK167" s="198"/>
      <c r="BL167" s="198"/>
      <c r="BM167" s="198"/>
      <c r="BN167" s="198"/>
      <c r="BO167" s="198"/>
      <c r="BP167" s="198"/>
      <c r="BQ167" s="198"/>
    </row>
    <row r="168" ht="15.75" customHeight="1">
      <c r="A168" s="391" t="s">
        <v>472</v>
      </c>
      <c r="B168" s="393">
        <f t="shared" ref="B168:L168" si="43">SUM(B164:B166)</f>
        <v>6.337198194</v>
      </c>
      <c r="C168" s="393">
        <f t="shared" si="43"/>
        <v>1.001279181</v>
      </c>
      <c r="D168" s="393">
        <f t="shared" si="43"/>
        <v>864.2374295</v>
      </c>
      <c r="E168" s="393">
        <f t="shared" si="43"/>
        <v>2812.337552</v>
      </c>
      <c r="F168" s="393">
        <f t="shared" si="43"/>
        <v>0</v>
      </c>
      <c r="G168" s="393">
        <f t="shared" si="43"/>
        <v>17.19595513</v>
      </c>
      <c r="H168" s="393">
        <f t="shared" si="43"/>
        <v>24.52445528</v>
      </c>
      <c r="I168" s="393">
        <f t="shared" si="43"/>
        <v>12</v>
      </c>
      <c r="J168" s="393">
        <f t="shared" si="43"/>
        <v>19.15128048</v>
      </c>
      <c r="K168" s="393">
        <f t="shared" si="43"/>
        <v>1.745910274</v>
      </c>
      <c r="L168" s="393">
        <f t="shared" si="43"/>
        <v>133.9718178</v>
      </c>
      <c r="M168" s="393"/>
      <c r="N168" s="393">
        <f t="shared" ref="N168:Q168" si="44">SUM(N164:N166)</f>
        <v>103.8981085</v>
      </c>
      <c r="O168" s="393">
        <f t="shared" si="44"/>
        <v>0</v>
      </c>
      <c r="P168" s="393">
        <f t="shared" si="44"/>
        <v>263.5561818</v>
      </c>
      <c r="Q168" s="393">
        <f t="shared" si="44"/>
        <v>233.8782196</v>
      </c>
      <c r="R168" s="393"/>
      <c r="S168" s="393">
        <f t="shared" ref="S168:V168" si="45">SUM(S164:S166)</f>
        <v>37.42792982</v>
      </c>
      <c r="T168" s="393">
        <f t="shared" si="45"/>
        <v>541.0558751</v>
      </c>
      <c r="U168" s="393">
        <f t="shared" si="45"/>
        <v>260.2748907</v>
      </c>
      <c r="V168" s="392">
        <f t="shared" si="45"/>
        <v>5332.594083</v>
      </c>
      <c r="W168" s="13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98"/>
      <c r="AT168" s="198"/>
      <c r="AU168" s="198"/>
      <c r="AV168" s="198"/>
      <c r="AW168" s="198"/>
      <c r="AX168" s="198"/>
      <c r="AY168" s="198"/>
      <c r="AZ168" s="198"/>
      <c r="BA168" s="198"/>
      <c r="BB168" s="198"/>
      <c r="BC168" s="198"/>
      <c r="BD168" s="198"/>
      <c r="BE168" s="198"/>
      <c r="BF168" s="198"/>
      <c r="BG168" s="198"/>
      <c r="BH168" s="198"/>
      <c r="BI168" s="198"/>
      <c r="BJ168" s="198"/>
      <c r="BK168" s="198"/>
      <c r="BL168" s="198"/>
      <c r="BM168" s="198"/>
      <c r="BN168" s="198"/>
      <c r="BO168" s="198"/>
      <c r="BP168" s="198"/>
      <c r="BQ168" s="198"/>
    </row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9">
    <mergeCell ref="B2:N2"/>
    <mergeCell ref="C3:E3"/>
    <mergeCell ref="F3:K3"/>
    <mergeCell ref="L3:N3"/>
    <mergeCell ref="F4:H4"/>
    <mergeCell ref="I4:K4"/>
    <mergeCell ref="L4:N4"/>
    <mergeCell ref="B28:D28"/>
    <mergeCell ref="E28:G28"/>
    <mergeCell ref="H28:J28"/>
    <mergeCell ref="K28:M28"/>
    <mergeCell ref="A47:D47"/>
    <mergeCell ref="C4:E4"/>
    <mergeCell ref="A10:G10"/>
    <mergeCell ref="B11:C11"/>
    <mergeCell ref="D11:E11"/>
    <mergeCell ref="F11:G11"/>
    <mergeCell ref="B27:G27"/>
    <mergeCell ref="H27:M27"/>
  </mergeCells>
  <printOptions/>
  <pageMargins bottom="0.787401575" footer="0.0" header="0.0" left="0.7" right="0.7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34.0"/>
    <col customWidth="1" min="2" max="3" width="11.25"/>
    <col customWidth="1" min="4" max="4" width="13.88"/>
    <col customWidth="1" min="5" max="5" width="15.88"/>
    <col customWidth="1" min="6" max="6" width="15.0"/>
    <col customWidth="1" min="7" max="7" width="11.25"/>
    <col customWidth="1" min="8" max="8" width="11.75"/>
    <col customWidth="1" min="9" max="26" width="11.25"/>
  </cols>
  <sheetData>
    <row r="1" ht="15.75" customHeight="1">
      <c r="A1" s="394" t="s">
        <v>473</v>
      </c>
      <c r="B1" s="395"/>
      <c r="C1" s="383"/>
      <c r="D1" s="383"/>
      <c r="E1" s="396"/>
      <c r="F1" s="396"/>
      <c r="G1" s="396"/>
      <c r="H1" s="396"/>
      <c r="I1" s="396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5.75" customHeight="1">
      <c r="A2" s="383"/>
      <c r="B2" s="383"/>
      <c r="C2" s="383"/>
      <c r="D2" s="383"/>
      <c r="E2" s="396"/>
      <c r="F2" s="396"/>
      <c r="G2" s="396"/>
      <c r="H2" s="396"/>
      <c r="I2" s="396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75" customHeight="1">
      <c r="A3" s="397" t="s">
        <v>474</v>
      </c>
      <c r="B3" s="398">
        <f>'Pomocná data I. Odhady prevalen'!J16*'Pomocná data I. Odhady prevalen'!C220</f>
        <v>897078.3496</v>
      </c>
      <c r="C3" s="331"/>
      <c r="D3" s="383"/>
      <c r="E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.75" customHeight="1">
      <c r="A4" s="399" t="s">
        <v>475</v>
      </c>
      <c r="B4" s="400">
        <f>'Pomocná data I. Odhady prevalen'!I16*'Pomocná data I. Odhady prevalen'!B220</f>
        <v>1016598.068</v>
      </c>
      <c r="C4" s="331"/>
      <c r="D4" s="383"/>
      <c r="E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5.75" customHeight="1">
      <c r="A5" s="401" t="s">
        <v>476</v>
      </c>
      <c r="B5" s="402">
        <f>SUM(B3:B4)</f>
        <v>1913676.418</v>
      </c>
      <c r="C5" s="383"/>
      <c r="D5" s="383"/>
      <c r="E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5.75" customHeight="1">
      <c r="B6" s="14"/>
      <c r="C6" s="14"/>
      <c r="D6" s="14"/>
      <c r="E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5.75" customHeight="1">
      <c r="A7" s="88" t="str">
        <f>HYPERLINK("https://www.ncbi.nlm.nih.gov/pubmed/20117569","Jia, 2010")</f>
        <v>Jia, 2010</v>
      </c>
      <c r="B7" s="403">
        <v>1993.0</v>
      </c>
      <c r="C7" s="79">
        <v>2008.0</v>
      </c>
      <c r="D7" s="404" t="s">
        <v>477</v>
      </c>
      <c r="E7" s="79" t="s">
        <v>478</v>
      </c>
      <c r="F7" s="79" t="s">
        <v>479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5.75" customHeight="1">
      <c r="A8" s="14" t="s">
        <v>480</v>
      </c>
      <c r="B8" s="383">
        <v>0.0204</v>
      </c>
      <c r="C8" s="14">
        <v>0.0464</v>
      </c>
      <c r="D8" s="405">
        <f>C8*'Pomocná data IV.Mzdy a další př'!$B$18</f>
        <v>55680</v>
      </c>
      <c r="E8" s="24">
        <f>SUM(B3:B4)*C8</f>
        <v>88794.58578</v>
      </c>
      <c r="F8" s="24">
        <f>E8*'Pomocná data IV.Mzdy a další př'!B18</f>
        <v>106553502934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5.75" customHeight="1">
      <c r="A9" s="14" t="s">
        <v>481</v>
      </c>
      <c r="B9" s="383">
        <v>0.011</v>
      </c>
      <c r="C9" s="14">
        <v>0.0265</v>
      </c>
      <c r="D9" s="405">
        <f>C9*'Pomocná data IV.Mzdy a další př'!$B$18</f>
        <v>31800</v>
      </c>
      <c r="E9" s="24">
        <f>SUM(B3:B4)*C9</f>
        <v>50712.42507</v>
      </c>
      <c r="F9" s="208">
        <f>E9*'Pomocná data IV.Mzdy a další př'!B18</f>
        <v>60854910081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5.75" customHeight="1">
      <c r="A10" s="14" t="s">
        <v>482</v>
      </c>
      <c r="B10" s="383">
        <v>0.0094</v>
      </c>
      <c r="C10" s="14">
        <v>0.0199</v>
      </c>
      <c r="D10" s="405">
        <f>C10*'Pomocná data IV.Mzdy a další př'!$B$18</f>
        <v>23880</v>
      </c>
      <c r="E10" s="24">
        <f>SUM(B3:B4)*C10</f>
        <v>38082.16071</v>
      </c>
      <c r="F10" s="24">
        <f>E10*'Pomocná data IV.Mzdy a další př'!B18</f>
        <v>45698592853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5.75" customHeight="1">
      <c r="B11" s="14"/>
      <c r="C11" s="14"/>
      <c r="D11" s="14"/>
      <c r="F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5.75" customHeight="1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5.75" customHeight="1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5.75" customHeight="1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5.75" customHeight="1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5.75" customHeight="1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5.75" customHeight="1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5.75" customHeight="1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5.75" customHeight="1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5.75" customHeight="1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5.75" customHeight="1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5.75" customHeight="1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5.75" customHeight="1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5.75" customHeight="1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customHeight="1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customHeight="1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customHeigh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customHeight="1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customHeight="1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customHeight="1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customHeight="1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customHeight="1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75" customHeight="1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customHeight="1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customHeight="1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customHeight="1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customHeight="1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customHeight="1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customHeight="1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customHeight="1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customHeight="1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customHeight="1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customHeight="1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customHeight="1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customHeight="1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customHeight="1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customHeight="1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customHeight="1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customHeight="1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customHeight="1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customHeight="1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customHeight="1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customHeight="1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customHeight="1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customHeight="1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customHeight="1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customHeight="1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customHeight="1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customHeight="1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customHeight="1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customHeight="1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customHeight="1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customHeight="1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customHeight="1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customHeight="1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customHeight="1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customHeight="1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customHeight="1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customHeight="1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customHeight="1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customHeight="1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customHeight="1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customHeight="1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customHeight="1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customHeight="1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customHeight="1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customHeight="1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customHeight="1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customHeight="1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customHeight="1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customHeight="1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customHeight="1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customHeight="1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customHeight="1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customHeight="1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customHeight="1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customHeight="1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customHeight="1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customHeight="1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customHeight="1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customHeight="1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87401575" footer="0.0" header="0.0" left="0.7" right="0.7" top="0.7874015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2.0"/>
    <col customWidth="1" min="2" max="2" width="13.25"/>
    <col customWidth="1" min="3" max="4" width="11.25"/>
    <col customWidth="1" min="5" max="5" width="16.75"/>
    <col customWidth="1" min="6" max="6" width="13.25"/>
  </cols>
  <sheetData>
    <row r="1" ht="15.75" customHeight="1">
      <c r="A1" s="13" t="s">
        <v>483</v>
      </c>
      <c r="B1" s="14"/>
      <c r="C1" s="14"/>
    </row>
    <row r="2" ht="15.75" customHeight="1">
      <c r="A2" s="14"/>
      <c r="B2" s="14"/>
      <c r="C2" s="14"/>
    </row>
    <row r="3" ht="15.75" customHeight="1">
      <c r="A3" s="13" t="s">
        <v>484</v>
      </c>
      <c r="B3" s="384">
        <f>'Pomocná data II.PÚ Ž'!V76+'Pomocná data III.PÚ M'!V76</f>
        <v>115541.8134</v>
      </c>
    </row>
    <row r="4" ht="15.75" customHeight="1">
      <c r="A4" s="14" t="s">
        <v>485</v>
      </c>
      <c r="B4" s="24">
        <v>4.0E7</v>
      </c>
      <c r="C4" s="406" t="s">
        <v>486</v>
      </c>
    </row>
    <row r="5" ht="15.75" customHeight="1">
      <c r="A5" s="14" t="s">
        <v>487</v>
      </c>
      <c r="B5" s="24">
        <v>9.0E7</v>
      </c>
      <c r="C5" s="407" t="s">
        <v>488</v>
      </c>
    </row>
    <row r="6" ht="15.75" customHeight="1">
      <c r="A6" s="14" t="s">
        <v>489</v>
      </c>
      <c r="B6" s="39">
        <v>78.3</v>
      </c>
      <c r="C6" s="407" t="s">
        <v>490</v>
      </c>
    </row>
    <row r="7" ht="15.75" customHeight="1">
      <c r="A7" s="14" t="s">
        <v>491</v>
      </c>
      <c r="B7" s="39">
        <v>42.3</v>
      </c>
      <c r="C7" s="88" t="str">
        <f>HYPERLINK("https://www.czso.cz/csu/stoletistatistiky/prumerny-vek-obyvatel-ceske-republiky","ČSÚ, 2018")</f>
        <v>ČSÚ, 2018</v>
      </c>
      <c r="D7" s="24"/>
    </row>
    <row r="8" ht="15.75" customHeight="1">
      <c r="A8" s="14" t="s">
        <v>492</v>
      </c>
      <c r="B8" s="24">
        <f>(B3/(B6-B7))*B4</f>
        <v>128379792631</v>
      </c>
      <c r="E8" s="22"/>
    </row>
    <row r="9" ht="15.75" customHeight="1">
      <c r="A9" s="14" t="s">
        <v>493</v>
      </c>
      <c r="B9" s="24">
        <f>(B3/(B6-B7))*B5</f>
        <v>288854533419</v>
      </c>
      <c r="E9" s="22"/>
    </row>
    <row r="10" ht="15.75" customHeight="1">
      <c r="A10" s="14" t="s">
        <v>494</v>
      </c>
      <c r="B10" s="24">
        <f>'Dílčí výpočty VI.QALY'!F9</f>
        <v>60854910081</v>
      </c>
    </row>
    <row r="11" ht="15.75" customHeight="1">
      <c r="A11" s="14" t="s">
        <v>495</v>
      </c>
      <c r="B11" s="24">
        <f>'Dílčí výpočty V.PÚ - ušlý zisk'!G8</f>
        <v>8539262053</v>
      </c>
    </row>
    <row r="12" ht="15.75" customHeight="1">
      <c r="A12" s="14" t="s">
        <v>496</v>
      </c>
      <c r="B12" s="24">
        <f>B8-B10-B11</f>
        <v>58985620497</v>
      </c>
    </row>
    <row r="13" ht="15.75" customHeight="1">
      <c r="A13" s="14" t="s">
        <v>496</v>
      </c>
      <c r="B13" s="24">
        <f>B9-B10-B11</f>
        <v>219460361286</v>
      </c>
      <c r="D13" s="385"/>
    </row>
    <row r="14" ht="15.75" customHeight="1">
      <c r="B14" s="24"/>
      <c r="D14" s="385"/>
    </row>
    <row r="15" ht="15.75" customHeight="1">
      <c r="D15" s="408"/>
    </row>
    <row r="16" ht="15.75" customHeight="1">
      <c r="D16" s="408"/>
    </row>
    <row r="17" ht="15.75" customHeight="1">
      <c r="B17" s="24"/>
      <c r="C17" s="47"/>
      <c r="D17" s="385"/>
    </row>
    <row r="18" ht="15.75" customHeight="1">
      <c r="D18" s="408"/>
    </row>
    <row r="19" ht="15.75" customHeight="1">
      <c r="D19" s="408"/>
    </row>
    <row r="20" ht="15.75" customHeight="1">
      <c r="D20" s="40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hyperlinks>
    <hyperlink r:id="rId1" ref="C4"/>
    <hyperlink r:id="rId2" location="gid=1307691453" ref="C5"/>
    <hyperlink r:id="rId3" ref="C6"/>
  </hyperlinks>
  <printOptions/>
  <pageMargins bottom="0.787401575" footer="0.0" header="0.0" left="0.7" right="0.7" top="0.787401575"/>
  <pageSetup orientation="landscape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2" width="11.25"/>
    <col customWidth="1" min="3" max="3" width="10.63"/>
    <col customWidth="1" min="4" max="6" width="11.25"/>
    <col customWidth="1" min="7" max="7" width="13.0"/>
    <col customWidth="1" min="8" max="8" width="25.0"/>
    <col customWidth="1" min="9" max="10" width="11.25"/>
    <col customWidth="1" min="11" max="11" width="12.63"/>
    <col customWidth="1" min="12" max="19" width="11.25"/>
    <col customWidth="1" min="20" max="20" width="33.25"/>
    <col customWidth="1" min="21" max="26" width="11.25"/>
  </cols>
  <sheetData>
    <row r="1" ht="15.75" customHeight="1">
      <c r="A1" s="409" t="s">
        <v>497</v>
      </c>
      <c r="B1" s="194"/>
      <c r="C1" s="194"/>
      <c r="D1" s="194"/>
      <c r="E1" s="195"/>
      <c r="H1" s="410" t="s">
        <v>498</v>
      </c>
      <c r="I1" s="411"/>
      <c r="L1" s="163"/>
      <c r="M1" s="163"/>
      <c r="N1" s="14"/>
      <c r="O1" s="14"/>
      <c r="P1" s="14"/>
      <c r="Q1" s="14"/>
      <c r="R1" s="14"/>
      <c r="S1" s="14"/>
      <c r="T1" s="412" t="s">
        <v>499</v>
      </c>
      <c r="U1" s="413"/>
      <c r="V1" s="413"/>
      <c r="W1" s="14"/>
      <c r="X1" s="14"/>
      <c r="Y1" s="14"/>
      <c r="Z1" s="14"/>
    </row>
    <row r="2" ht="15.75" customHeight="1">
      <c r="A2" s="386" t="s">
        <v>500</v>
      </c>
      <c r="B2" s="386" t="s">
        <v>409</v>
      </c>
      <c r="C2" s="386" t="s">
        <v>410</v>
      </c>
      <c r="D2" s="286" t="s">
        <v>501</v>
      </c>
      <c r="H2" s="414" t="s">
        <v>500</v>
      </c>
      <c r="I2" s="415" t="s">
        <v>409</v>
      </c>
      <c r="J2" s="416" t="s">
        <v>410</v>
      </c>
      <c r="O2" s="47"/>
      <c r="P2" s="47"/>
      <c r="Q2" s="47"/>
      <c r="R2" s="47"/>
      <c r="S2" s="47"/>
      <c r="T2" s="417" t="s">
        <v>500</v>
      </c>
      <c r="U2" s="418" t="s">
        <v>409</v>
      </c>
      <c r="V2" s="419" t="s">
        <v>410</v>
      </c>
      <c r="W2" s="14"/>
      <c r="X2" s="14"/>
      <c r="Y2" s="14"/>
      <c r="Z2" s="14"/>
    </row>
    <row r="3" ht="15.75" customHeight="1">
      <c r="A3" s="163" t="s">
        <v>417</v>
      </c>
      <c r="B3" s="420">
        <f t="shared" ref="B3:C3" si="1">L25/100</f>
        <v>0.044</v>
      </c>
      <c r="C3" s="420">
        <f t="shared" si="1"/>
        <v>0.028</v>
      </c>
      <c r="H3" s="421" t="s">
        <v>417</v>
      </c>
      <c r="I3" s="422">
        <v>0.044000000000000004</v>
      </c>
      <c r="J3" s="423">
        <v>0.027999999999999997</v>
      </c>
      <c r="N3" s="14"/>
      <c r="O3" s="47"/>
      <c r="P3" s="47"/>
      <c r="Q3" s="47"/>
      <c r="R3" s="47"/>
      <c r="S3" s="47"/>
      <c r="T3" s="424" t="s">
        <v>417</v>
      </c>
      <c r="U3" s="425">
        <f t="shared" ref="U3:V3" si="2">L25</f>
        <v>4.4</v>
      </c>
      <c r="V3" s="426">
        <f t="shared" si="2"/>
        <v>2.8</v>
      </c>
      <c r="W3" s="14"/>
      <c r="X3" s="14"/>
      <c r="Y3" s="14"/>
      <c r="Z3" s="14"/>
    </row>
    <row r="4" ht="15.75" customHeight="1">
      <c r="A4" s="163" t="s">
        <v>418</v>
      </c>
      <c r="B4" s="420">
        <f t="shared" ref="B4:C4" si="3">((L25+(L26-L25)/3)/100)</f>
        <v>0.07333333333</v>
      </c>
      <c r="C4" s="420">
        <f t="shared" si="3"/>
        <v>0.05566666667</v>
      </c>
      <c r="H4" s="421" t="s">
        <v>418</v>
      </c>
      <c r="I4" s="422">
        <v>0.07333333333333333</v>
      </c>
      <c r="J4" s="423">
        <v>0.05566666666666666</v>
      </c>
      <c r="N4" s="14"/>
      <c r="O4" s="47"/>
      <c r="P4" s="47"/>
      <c r="Q4" s="47"/>
      <c r="R4" s="47"/>
      <c r="S4" s="47"/>
      <c r="T4" s="421" t="s">
        <v>418</v>
      </c>
      <c r="U4" s="14">
        <f t="shared" ref="U4:V4" si="4">L25</f>
        <v>4.4</v>
      </c>
      <c r="V4" s="427">
        <f t="shared" si="4"/>
        <v>2.8</v>
      </c>
      <c r="W4" s="14"/>
      <c r="X4" s="14"/>
      <c r="Y4" s="14"/>
      <c r="Z4" s="14"/>
    </row>
    <row r="5" ht="15.75" customHeight="1">
      <c r="A5" s="163" t="s">
        <v>391</v>
      </c>
      <c r="B5" s="420">
        <f t="shared" ref="B5:C5" si="5">(((H26+L26)/2)-(L26-L25)/3)/100</f>
        <v>0.1151666667</v>
      </c>
      <c r="C5" s="420">
        <f t="shared" si="5"/>
        <v>0.08341785017</v>
      </c>
      <c r="H5" s="421" t="s">
        <v>391</v>
      </c>
      <c r="I5" s="422">
        <v>0.11516666666666665</v>
      </c>
      <c r="J5" s="423">
        <v>0.08341785016894653</v>
      </c>
      <c r="O5" s="47"/>
      <c r="P5" s="47"/>
      <c r="Q5" s="47"/>
      <c r="R5" s="47"/>
      <c r="S5" s="47"/>
      <c r="T5" s="421" t="s">
        <v>391</v>
      </c>
      <c r="U5" s="428">
        <f t="shared" ref="U5:V5" si="6">AVERAGE(H26,L26)</f>
        <v>14.45</v>
      </c>
      <c r="V5" s="428">
        <f t="shared" si="6"/>
        <v>11.10845168</v>
      </c>
      <c r="W5" s="14"/>
    </row>
    <row r="6" ht="15.75" customHeight="1">
      <c r="A6" s="163" t="s">
        <v>392</v>
      </c>
      <c r="B6" s="420">
        <f t="shared" ref="B6:C6" si="7">(((H26+L26)/2)+(L27-L26)/3)/100</f>
        <v>0.1635</v>
      </c>
      <c r="C6" s="420">
        <f t="shared" si="7"/>
        <v>0.1254178502</v>
      </c>
      <c r="H6" s="421" t="s">
        <v>392</v>
      </c>
      <c r="I6" s="422">
        <v>0.16349999999999998</v>
      </c>
      <c r="J6" s="423">
        <v>0.12541785016894655</v>
      </c>
      <c r="O6" s="47"/>
      <c r="P6" s="429"/>
      <c r="Q6" s="429"/>
      <c r="R6" s="47"/>
      <c r="S6" s="47"/>
      <c r="T6" s="421" t="s">
        <v>392</v>
      </c>
      <c r="U6" s="428">
        <f t="shared" ref="U6:V6" si="8">AVERAGE(H26,L26)</f>
        <v>14.45</v>
      </c>
      <c r="V6" s="428">
        <f t="shared" si="8"/>
        <v>11.10845168</v>
      </c>
    </row>
    <row r="7" ht="15.75" customHeight="1">
      <c r="A7" s="163" t="s">
        <v>393</v>
      </c>
      <c r="B7" s="420">
        <f t="shared" ref="B7:C7" si="9">(((H27+L27)/2)-(L27-L26)/3)/100</f>
        <v>0.228</v>
      </c>
      <c r="C7" s="420">
        <f t="shared" si="9"/>
        <v>0.2016666667</v>
      </c>
      <c r="H7" s="421" t="s">
        <v>393</v>
      </c>
      <c r="I7" s="422">
        <v>0.228</v>
      </c>
      <c r="J7" s="423">
        <v>0.2016666666666667</v>
      </c>
      <c r="O7" s="47"/>
      <c r="P7" s="47"/>
      <c r="Q7" s="47"/>
      <c r="R7" s="47"/>
      <c r="S7" s="47"/>
      <c r="T7" s="421" t="s">
        <v>393</v>
      </c>
      <c r="U7" s="428">
        <f t="shared" ref="U7:V7" si="10">AVERAGE(H27,L27)</f>
        <v>24.7</v>
      </c>
      <c r="V7" s="428">
        <f t="shared" si="10"/>
        <v>21.6</v>
      </c>
    </row>
    <row r="8" ht="15.75" customHeight="1">
      <c r="A8" s="163" t="s">
        <v>394</v>
      </c>
      <c r="B8" s="420">
        <f t="shared" ref="B8:C8" si="11">(((H27+L27)/2)+(L28-L27)/3)/100</f>
        <v>0.2716666667</v>
      </c>
      <c r="C8" s="420">
        <f t="shared" si="11"/>
        <v>0.2183333333</v>
      </c>
      <c r="H8" s="421" t="s">
        <v>394</v>
      </c>
      <c r="I8" s="422">
        <v>0.27166666666666667</v>
      </c>
      <c r="J8" s="423">
        <v>0.21833333333333335</v>
      </c>
      <c r="O8" s="47"/>
      <c r="P8" s="47"/>
      <c r="Q8" s="47"/>
      <c r="R8" s="47"/>
      <c r="S8" s="47"/>
      <c r="T8" s="421" t="s">
        <v>394</v>
      </c>
      <c r="U8" s="428">
        <f t="shared" ref="U8:V8" si="12">AVERAGE(H27,L27)</f>
        <v>24.7</v>
      </c>
      <c r="V8" s="428">
        <f t="shared" si="12"/>
        <v>21.6</v>
      </c>
    </row>
    <row r="9" ht="15.75" customHeight="1">
      <c r="A9" s="163" t="s">
        <v>395</v>
      </c>
      <c r="B9" s="420">
        <f t="shared" ref="B9:C9" si="13">(((H28+L28)/2)-(L28-L27)/3)/100</f>
        <v>0.3158333333</v>
      </c>
      <c r="C9" s="420">
        <f t="shared" si="13"/>
        <v>0.2311666667</v>
      </c>
      <c r="H9" s="421" t="s">
        <v>395</v>
      </c>
      <c r="I9" s="422">
        <v>0.3158333333333333</v>
      </c>
      <c r="J9" s="423">
        <v>0.23116666666666666</v>
      </c>
      <c r="O9" s="47"/>
      <c r="P9" s="47"/>
      <c r="Q9" s="47"/>
      <c r="R9" s="47"/>
      <c r="S9" s="47"/>
      <c r="T9" s="421" t="s">
        <v>395</v>
      </c>
      <c r="U9" s="428">
        <f t="shared" ref="U9:V9" si="14">AVERAGE(H28,L28)</f>
        <v>34.05</v>
      </c>
      <c r="V9" s="428">
        <f t="shared" si="14"/>
        <v>23.35</v>
      </c>
    </row>
    <row r="10" ht="15.75" customHeight="1">
      <c r="A10" s="163" t="s">
        <v>396</v>
      </c>
      <c r="B10" s="420">
        <f t="shared" ref="B10:C10" si="15">(((H28+L28)/2)+(L29-L28)/3)/100</f>
        <v>0.3635</v>
      </c>
      <c r="C10" s="420">
        <f t="shared" si="15"/>
        <v>0.2665</v>
      </c>
      <c r="H10" s="421" t="s">
        <v>396</v>
      </c>
      <c r="I10" s="422">
        <v>0.36349999999999993</v>
      </c>
      <c r="J10" s="423">
        <v>0.2665</v>
      </c>
      <c r="O10" s="47"/>
      <c r="P10" s="47"/>
      <c r="Q10" s="47"/>
      <c r="R10" s="47"/>
      <c r="S10" s="47"/>
      <c r="T10" s="421" t="s">
        <v>396</v>
      </c>
      <c r="U10" s="428">
        <f t="shared" ref="U10:V10" si="16">AVERAGE(H28,L28)</f>
        <v>34.05</v>
      </c>
      <c r="V10" s="428">
        <f t="shared" si="16"/>
        <v>23.35</v>
      </c>
    </row>
    <row r="11" ht="15.75" customHeight="1">
      <c r="A11" s="163" t="s">
        <v>397</v>
      </c>
      <c r="B11" s="420">
        <f t="shared" ref="B11:C11" si="17">((H29+L29)/2)/100</f>
        <v>0.3685</v>
      </c>
      <c r="C11" s="420">
        <f t="shared" si="17"/>
        <v>0.308</v>
      </c>
      <c r="H11" s="421" t="s">
        <v>397</v>
      </c>
      <c r="I11" s="422">
        <v>0.3685</v>
      </c>
      <c r="J11" s="423">
        <v>0.308</v>
      </c>
      <c r="O11" s="47"/>
      <c r="P11" s="47"/>
      <c r="Q11" s="47"/>
      <c r="R11" s="47"/>
      <c r="S11" s="47"/>
      <c r="T11" s="421" t="s">
        <v>397</v>
      </c>
      <c r="U11" s="428">
        <f t="shared" ref="U11:V11" si="18">AVERAGE(H29,L29)</f>
        <v>36.85</v>
      </c>
      <c r="V11" s="428">
        <f t="shared" si="18"/>
        <v>30.8</v>
      </c>
    </row>
    <row r="12" ht="15.75" customHeight="1">
      <c r="A12" s="163" t="s">
        <v>398</v>
      </c>
      <c r="B12" s="420">
        <f t="shared" ref="B12:C12" si="19">((H29+L29)/2)/100</f>
        <v>0.3685</v>
      </c>
      <c r="C12" s="420">
        <f t="shared" si="19"/>
        <v>0.308</v>
      </c>
      <c r="H12" s="421" t="s">
        <v>398</v>
      </c>
      <c r="I12" s="422">
        <v>0.3685</v>
      </c>
      <c r="J12" s="423">
        <v>0.308</v>
      </c>
      <c r="O12" s="47"/>
      <c r="P12" s="47"/>
      <c r="Q12" s="47"/>
      <c r="R12" s="47"/>
      <c r="S12" s="47"/>
      <c r="T12" s="421" t="s">
        <v>398</v>
      </c>
      <c r="U12" s="428">
        <f t="shared" ref="U12:V12" si="20">AVERAGE(H29,L29)</f>
        <v>36.85</v>
      </c>
      <c r="V12" s="428">
        <f t="shared" si="20"/>
        <v>30.8</v>
      </c>
    </row>
    <row r="13" ht="15.75" customHeight="1">
      <c r="A13" s="163" t="s">
        <v>502</v>
      </c>
      <c r="B13" s="420">
        <f t="shared" ref="B13:C13" si="21">L30/100</f>
        <v>0.285</v>
      </c>
      <c r="C13" s="420">
        <f t="shared" si="21"/>
        <v>0.268</v>
      </c>
      <c r="H13" s="421" t="s">
        <v>502</v>
      </c>
      <c r="I13" s="422">
        <v>0.285</v>
      </c>
      <c r="J13" s="423">
        <v>0.268</v>
      </c>
      <c r="O13" s="47"/>
      <c r="P13" s="47"/>
      <c r="Q13" s="47"/>
      <c r="R13" s="47"/>
      <c r="S13" s="47"/>
      <c r="T13" s="421" t="s">
        <v>502</v>
      </c>
      <c r="U13" s="14">
        <f t="shared" ref="U13:V13" si="22">L30</f>
        <v>28.5</v>
      </c>
      <c r="V13" s="14">
        <f t="shared" si="22"/>
        <v>26.8</v>
      </c>
    </row>
    <row r="14" ht="15.75" customHeight="1">
      <c r="A14" s="163" t="s">
        <v>503</v>
      </c>
      <c r="B14" s="420">
        <f t="shared" ref="B14:C14" si="23">(L30-(L30-L31)/3)/100</f>
        <v>0.2573333333</v>
      </c>
      <c r="C14" s="420">
        <f t="shared" si="23"/>
        <v>0.2483333333</v>
      </c>
      <c r="H14" s="421" t="s">
        <v>503</v>
      </c>
      <c r="I14" s="422">
        <v>0.25733333333333336</v>
      </c>
      <c r="J14" s="423">
        <v>0.24833333333333332</v>
      </c>
      <c r="O14" s="47"/>
      <c r="P14" s="47"/>
      <c r="Q14" s="47"/>
      <c r="R14" s="47"/>
      <c r="S14" s="47"/>
      <c r="T14" s="421" t="s">
        <v>503</v>
      </c>
      <c r="U14" s="14">
        <f t="shared" ref="U14:V14" si="24">L30</f>
        <v>28.5</v>
      </c>
      <c r="V14" s="14">
        <f t="shared" si="24"/>
        <v>26.8</v>
      </c>
    </row>
    <row r="15" ht="15.75" customHeight="1">
      <c r="A15" s="163" t="s">
        <v>459</v>
      </c>
      <c r="B15" s="420">
        <f t="shared" ref="B15:C15" si="25">L31/100</f>
        <v>0.202</v>
      </c>
      <c r="C15" s="420">
        <f t="shared" si="25"/>
        <v>0.209</v>
      </c>
      <c r="H15" s="421" t="s">
        <v>459</v>
      </c>
      <c r="I15" s="422">
        <v>0.20199999999999999</v>
      </c>
      <c r="J15" s="423">
        <v>0.209</v>
      </c>
      <c r="N15" s="14"/>
      <c r="O15" s="47"/>
      <c r="P15" s="47"/>
      <c r="Q15" s="47"/>
      <c r="R15" s="232"/>
      <c r="S15" s="232"/>
      <c r="T15" s="430" t="s">
        <v>459</v>
      </c>
      <c r="U15" s="358">
        <f t="shared" ref="U15:V15" si="26">L31</f>
        <v>20.2</v>
      </c>
      <c r="V15" s="358">
        <f t="shared" si="26"/>
        <v>20.9</v>
      </c>
    </row>
    <row r="16" ht="15.75" customHeight="1">
      <c r="A16" s="386" t="s">
        <v>504</v>
      </c>
      <c r="B16" s="431">
        <f t="shared" ref="B16:C16" si="27">AVERAGE(H32,L32)/100</f>
        <v>0.266625</v>
      </c>
      <c r="C16" s="431">
        <f t="shared" si="27"/>
        <v>0.2188961292</v>
      </c>
      <c r="H16" s="432" t="s">
        <v>505</v>
      </c>
      <c r="I16" s="431">
        <f t="shared" ref="I16:J16" si="28">SUMPRODUCT(I3:I15,F120:F132)/SUM(F120:F132)</f>
        <v>0.2445149554</v>
      </c>
      <c r="J16" s="431">
        <f t="shared" si="28"/>
        <v>0.2059354148</v>
      </c>
      <c r="O16" s="47"/>
      <c r="P16" s="47"/>
      <c r="Q16" s="47"/>
      <c r="R16" s="232"/>
      <c r="S16" s="232"/>
      <c r="T16" s="417" t="s">
        <v>505</v>
      </c>
      <c r="U16" s="433">
        <f t="shared" ref="U16:V16" si="29">SUMPRODUCT(U3:U15,F120:F132)/SUM(F120:F132)/100</f>
        <v>0.2449532542</v>
      </c>
      <c r="V16" s="433">
        <f t="shared" si="29"/>
        <v>0.2052645532</v>
      </c>
    </row>
    <row r="17" ht="15.75" customHeight="1">
      <c r="H17" s="434" t="s">
        <v>506</v>
      </c>
      <c r="I17" s="435">
        <f t="shared" ref="I17:J17" si="30">SUMPRODUCT(I3:I12,F120:F129)/SUM(F120:F129)</f>
        <v>0.2439845626</v>
      </c>
      <c r="J17" s="435">
        <f t="shared" si="30"/>
        <v>0.1942125115</v>
      </c>
      <c r="O17" s="47"/>
      <c r="P17" s="429"/>
      <c r="Q17" s="429"/>
      <c r="R17" s="47"/>
      <c r="S17" s="47"/>
      <c r="T17" s="436" t="s">
        <v>506</v>
      </c>
      <c r="U17" s="437">
        <f t="shared" ref="U17:V17" si="31">SUMPRODUCT(U3:U12,F120:F129)/SUM(F120:F129)/100</f>
        <v>0.242334088</v>
      </c>
      <c r="V17" s="437">
        <f t="shared" si="31"/>
        <v>0.1912024634</v>
      </c>
    </row>
    <row r="18" ht="15.75" customHeight="1">
      <c r="A18" s="409" t="s">
        <v>507</v>
      </c>
      <c r="B18" s="194"/>
      <c r="C18" s="194"/>
      <c r="D18" s="194"/>
      <c r="E18" s="195"/>
      <c r="F18" s="163"/>
      <c r="G18" s="163"/>
      <c r="H18" s="417"/>
      <c r="I18" s="438"/>
      <c r="J18" s="439"/>
      <c r="N18" s="16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5.75" customHeight="1">
      <c r="A19" s="386" t="s">
        <v>500</v>
      </c>
      <c r="B19" s="386" t="s">
        <v>283</v>
      </c>
      <c r="C19" s="386" t="s">
        <v>284</v>
      </c>
      <c r="D19" s="440"/>
      <c r="E19" s="163"/>
      <c r="F19" s="163"/>
      <c r="G19" s="163"/>
      <c r="H19" s="14"/>
      <c r="I19" s="18"/>
      <c r="J19" s="18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ht="15.75" customHeight="1">
      <c r="A20" s="163" t="s">
        <v>391</v>
      </c>
      <c r="B20" s="440">
        <v>7.9</v>
      </c>
      <c r="C20" s="440">
        <v>13.4</v>
      </c>
      <c r="E20" s="163"/>
      <c r="F20" s="163"/>
      <c r="G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ht="15.75" customHeight="1">
      <c r="A21" s="163" t="s">
        <v>392</v>
      </c>
      <c r="B21" s="440">
        <v>14.2</v>
      </c>
      <c r="C21" s="440">
        <v>14.6</v>
      </c>
      <c r="E21" s="163"/>
      <c r="F21" s="16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ht="15.75" customHeight="1">
      <c r="A22" s="163" t="s">
        <v>393</v>
      </c>
      <c r="B22" s="440">
        <v>24.0</v>
      </c>
      <c r="C22" s="440">
        <v>15.7</v>
      </c>
      <c r="E22" s="163"/>
      <c r="F22" s="16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ht="15.75" customHeight="1">
      <c r="A23" s="163" t="s">
        <v>394</v>
      </c>
      <c r="B23" s="440">
        <v>35.4</v>
      </c>
      <c r="C23" s="440">
        <v>26.4</v>
      </c>
      <c r="E23" s="163"/>
      <c r="F23" s="16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ht="18.75" customHeight="1">
      <c r="A24" s="163" t="s">
        <v>395</v>
      </c>
      <c r="B24" s="440">
        <v>39.3</v>
      </c>
      <c r="C24" s="441">
        <v>22.7</v>
      </c>
      <c r="E24" s="163"/>
      <c r="F24" s="163"/>
      <c r="G24" s="442" t="s">
        <v>508</v>
      </c>
      <c r="H24" s="443" t="s">
        <v>409</v>
      </c>
      <c r="I24" s="443" t="s">
        <v>410</v>
      </c>
      <c r="J24" s="14"/>
      <c r="K24" s="442" t="s">
        <v>509</v>
      </c>
      <c r="L24" s="443" t="s">
        <v>409</v>
      </c>
      <c r="M24" s="443" t="s">
        <v>410</v>
      </c>
      <c r="N24" s="14"/>
      <c r="O24" s="14"/>
      <c r="P24" s="14"/>
      <c r="Q24" s="14"/>
      <c r="R24" s="14"/>
      <c r="S24" s="14"/>
      <c r="T24" s="14"/>
    </row>
    <row r="25" ht="15.75" customHeight="1">
      <c r="A25" s="163" t="s">
        <v>396</v>
      </c>
      <c r="B25" s="440">
        <v>41.6</v>
      </c>
      <c r="C25" s="440">
        <v>32.3</v>
      </c>
      <c r="E25" s="163"/>
      <c r="F25" s="163"/>
      <c r="G25" s="444" t="s">
        <v>510</v>
      </c>
      <c r="H25" s="445"/>
      <c r="I25" s="446"/>
      <c r="J25" s="14"/>
      <c r="K25" s="444" t="s">
        <v>510</v>
      </c>
      <c r="L25" s="425">
        <v>4.4</v>
      </c>
      <c r="M25" s="426">
        <v>2.8</v>
      </c>
      <c r="N25" s="14"/>
      <c r="O25" s="14"/>
      <c r="P25" s="14"/>
      <c r="Q25" s="14"/>
      <c r="R25" s="14"/>
      <c r="S25" s="14"/>
      <c r="T25" s="14"/>
    </row>
    <row r="26" ht="15.75" customHeight="1">
      <c r="A26" s="163" t="s">
        <v>397</v>
      </c>
      <c r="B26" s="441">
        <v>30.0</v>
      </c>
      <c r="C26" s="440">
        <v>31.9</v>
      </c>
      <c r="E26" s="163"/>
      <c r="F26" s="163"/>
      <c r="G26" s="447" t="s">
        <v>511</v>
      </c>
      <c r="H26" s="428">
        <v>15.7</v>
      </c>
      <c r="I26" s="448">
        <v>11.116903367122639</v>
      </c>
      <c r="J26" s="14"/>
      <c r="K26" s="447" t="s">
        <v>511</v>
      </c>
      <c r="L26" s="14">
        <v>13.2</v>
      </c>
      <c r="M26" s="427">
        <v>11.1</v>
      </c>
      <c r="N26" s="14"/>
      <c r="O26" s="14"/>
      <c r="P26" s="14"/>
      <c r="Q26" s="14"/>
      <c r="R26" s="14"/>
      <c r="S26" s="14"/>
      <c r="T26" s="14"/>
    </row>
    <row r="27" ht="15.75" customHeight="1">
      <c r="A27" s="163" t="s">
        <v>398</v>
      </c>
      <c r="B27" s="440">
        <v>41.1</v>
      </c>
      <c r="C27" s="440">
        <v>41.7</v>
      </c>
      <c r="E27" s="163"/>
      <c r="F27" s="163"/>
      <c r="G27" s="447" t="s">
        <v>512</v>
      </c>
      <c r="H27" s="428">
        <v>30.5</v>
      </c>
      <c r="I27" s="448">
        <v>27.8</v>
      </c>
      <c r="J27" s="14"/>
      <c r="K27" s="447" t="s">
        <v>512</v>
      </c>
      <c r="L27" s="14">
        <v>18.9</v>
      </c>
      <c r="M27" s="427">
        <v>15.4</v>
      </c>
      <c r="N27" s="14"/>
      <c r="O27" s="14"/>
      <c r="P27" s="14"/>
      <c r="Q27" s="14"/>
      <c r="R27" s="14"/>
      <c r="S27" s="14"/>
      <c r="T27" s="14"/>
    </row>
    <row r="28" ht="15.75" customHeight="1">
      <c r="A28" s="163" t="s">
        <v>513</v>
      </c>
      <c r="B28" s="440">
        <v>29.1</v>
      </c>
      <c r="C28" s="440">
        <v>24.7</v>
      </c>
      <c r="E28" s="163"/>
      <c r="F28" s="163"/>
      <c r="G28" s="447" t="s">
        <v>514</v>
      </c>
      <c r="H28" s="428">
        <v>41.8</v>
      </c>
      <c r="I28" s="448">
        <v>30.6</v>
      </c>
      <c r="J28" s="14"/>
      <c r="K28" s="447" t="s">
        <v>514</v>
      </c>
      <c r="L28" s="163">
        <v>26.3</v>
      </c>
      <c r="M28" s="449">
        <v>16.1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customHeight="1">
      <c r="A29" s="163"/>
      <c r="B29" s="163"/>
      <c r="C29" s="163"/>
      <c r="D29" s="163"/>
      <c r="E29" s="163"/>
      <c r="F29" s="163"/>
      <c r="G29" s="421" t="s">
        <v>515</v>
      </c>
      <c r="H29" s="428">
        <v>40.5</v>
      </c>
      <c r="I29" s="448">
        <v>35.6</v>
      </c>
      <c r="J29" s="14"/>
      <c r="K29" s="421" t="s">
        <v>515</v>
      </c>
      <c r="L29" s="163">
        <v>33.2</v>
      </c>
      <c r="M29" s="449">
        <v>26.0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customHeight="1">
      <c r="A30" s="409" t="s">
        <v>516</v>
      </c>
      <c r="B30" s="194"/>
      <c r="C30" s="194"/>
      <c r="D30" s="194"/>
      <c r="E30" s="195"/>
      <c r="F30" s="163"/>
      <c r="G30" s="421" t="s">
        <v>517</v>
      </c>
      <c r="H30" s="428"/>
      <c r="I30" s="448"/>
      <c r="J30" s="14"/>
      <c r="K30" s="421" t="s">
        <v>517</v>
      </c>
      <c r="L30" s="163">
        <v>28.5</v>
      </c>
      <c r="M30" s="449">
        <v>26.8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A31" s="32"/>
      <c r="B31" s="450" t="s">
        <v>518</v>
      </c>
      <c r="C31" s="90"/>
      <c r="D31" s="10"/>
      <c r="E31" s="163"/>
      <c r="F31" s="163"/>
      <c r="G31" s="421" t="s">
        <v>459</v>
      </c>
      <c r="H31" s="451"/>
      <c r="I31" s="452"/>
      <c r="J31" s="14"/>
      <c r="K31" s="421" t="s">
        <v>459</v>
      </c>
      <c r="L31" s="163">
        <v>20.2</v>
      </c>
      <c r="M31" s="449">
        <v>20.9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A32" s="32" t="s">
        <v>468</v>
      </c>
      <c r="B32" s="98" t="s">
        <v>409</v>
      </c>
      <c r="C32" s="98" t="s">
        <v>410</v>
      </c>
      <c r="D32" s="98" t="s">
        <v>68</v>
      </c>
      <c r="E32" s="163"/>
      <c r="F32" s="163"/>
      <c r="G32" s="453" t="s">
        <v>504</v>
      </c>
      <c r="H32" s="454">
        <f t="shared" ref="H32:I32" si="32">AVERAGE(H25:H31)</f>
        <v>32.125</v>
      </c>
      <c r="I32" s="455">
        <f t="shared" si="32"/>
        <v>26.27922584</v>
      </c>
      <c r="J32" s="163"/>
      <c r="K32" s="453" t="s">
        <v>504</v>
      </c>
      <c r="L32" s="456">
        <v>21.2</v>
      </c>
      <c r="M32" s="457">
        <v>17.5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A33" s="458" t="s">
        <v>510</v>
      </c>
      <c r="B33" s="459">
        <v>0.02</v>
      </c>
      <c r="C33" s="459">
        <v>0.039</v>
      </c>
      <c r="D33" s="459">
        <v>0.028</v>
      </c>
      <c r="E33" s="163"/>
      <c r="F33" s="163"/>
      <c r="G33" s="163"/>
      <c r="H33" s="14"/>
      <c r="I33" s="14"/>
      <c r="J33" s="14"/>
      <c r="K33" s="14"/>
      <c r="L33" s="163"/>
      <c r="M33" s="163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customHeight="1">
      <c r="A34" s="458" t="s">
        <v>511</v>
      </c>
      <c r="B34" s="459">
        <v>0.099</v>
      </c>
      <c r="C34" s="459">
        <v>0.09</v>
      </c>
      <c r="D34" s="459">
        <v>0.094</v>
      </c>
      <c r="E34" s="163"/>
      <c r="F34" s="460"/>
      <c r="G34" s="163"/>
      <c r="H34" s="14"/>
      <c r="I34" s="14"/>
      <c r="J34" s="14"/>
      <c r="K34" s="14"/>
      <c r="L34" s="163"/>
      <c r="M34" s="163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customHeight="1">
      <c r="A35" s="458" t="s">
        <v>512</v>
      </c>
      <c r="B35" s="459">
        <v>0.208</v>
      </c>
      <c r="C35" s="459">
        <v>0.149</v>
      </c>
      <c r="D35" s="459">
        <v>0.177</v>
      </c>
      <c r="E35" s="163"/>
      <c r="F35" s="163"/>
      <c r="G35" s="163"/>
      <c r="H35" s="14"/>
      <c r="I35" s="14"/>
      <c r="J35" s="14"/>
      <c r="K35" s="14"/>
      <c r="L35" s="163"/>
      <c r="M35" s="163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customHeight="1">
      <c r="A36" s="458" t="s">
        <v>514</v>
      </c>
      <c r="B36" s="459">
        <v>0.31</v>
      </c>
      <c r="C36" s="459">
        <v>0.219</v>
      </c>
      <c r="D36" s="459">
        <v>0.262</v>
      </c>
      <c r="E36" s="163"/>
      <c r="F36" s="163"/>
      <c r="G36" s="163"/>
      <c r="H36" s="14"/>
      <c r="I36" s="14"/>
      <c r="J36" s="14"/>
      <c r="K36" s="14"/>
      <c r="L36" s="163"/>
      <c r="M36" s="163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A37" s="458" t="s">
        <v>515</v>
      </c>
      <c r="B37" s="459">
        <v>0.281</v>
      </c>
      <c r="C37" s="459">
        <v>0.266</v>
      </c>
      <c r="D37" s="459">
        <v>0.273</v>
      </c>
      <c r="E37" s="163"/>
      <c r="F37" s="163"/>
      <c r="G37" s="163"/>
      <c r="H37" s="14"/>
      <c r="I37" s="14"/>
      <c r="J37" s="14"/>
      <c r="K37" s="14"/>
      <c r="L37" s="163"/>
      <c r="M37" s="163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customHeight="1">
      <c r="A38" s="458" t="s">
        <v>517</v>
      </c>
      <c r="B38" s="459">
        <v>0.274</v>
      </c>
      <c r="C38" s="459">
        <v>0.285</v>
      </c>
      <c r="D38" s="459">
        <v>0.281</v>
      </c>
      <c r="E38" s="163"/>
      <c r="F38" s="163"/>
      <c r="G38" s="163"/>
      <c r="I38" s="14"/>
      <c r="J38" s="14"/>
      <c r="K38" s="14"/>
      <c r="L38" s="163"/>
      <c r="M38" s="16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75" customHeight="1">
      <c r="A39" s="458" t="s">
        <v>459</v>
      </c>
      <c r="B39" s="459">
        <v>0.156</v>
      </c>
      <c r="C39" s="459">
        <v>0.203</v>
      </c>
      <c r="D39" s="459">
        <v>0.184</v>
      </c>
      <c r="E39" s="163"/>
      <c r="F39" s="163"/>
      <c r="G39" s="163"/>
      <c r="H39" s="14"/>
      <c r="I39" s="14"/>
      <c r="J39" s="14"/>
      <c r="K39" s="14"/>
      <c r="L39" s="163"/>
      <c r="M39" s="16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customHeight="1">
      <c r="A40" s="20" t="s">
        <v>68</v>
      </c>
      <c r="B40" s="459">
        <v>0.197</v>
      </c>
      <c r="C40" s="459">
        <v>0.182</v>
      </c>
      <c r="D40" s="459">
        <v>0.189</v>
      </c>
      <c r="E40" s="163"/>
      <c r="F40" s="163"/>
      <c r="G40" s="163"/>
      <c r="H40" s="14"/>
      <c r="I40" s="14"/>
      <c r="J40" s="14"/>
      <c r="K40" s="14"/>
      <c r="L40" s="163"/>
      <c r="M40" s="163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customHeight="1">
      <c r="A41" s="14"/>
      <c r="B41" s="14"/>
      <c r="C41" s="14"/>
      <c r="D41" s="14"/>
      <c r="E41" s="14"/>
      <c r="F41" s="163"/>
      <c r="G41" s="163"/>
      <c r="H41" s="14"/>
      <c r="I41" s="14"/>
      <c r="J41" s="14"/>
      <c r="K41" s="163"/>
      <c r="L41" s="163"/>
      <c r="M41" s="163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hidden="1" customHeight="1">
      <c r="A42" s="163" t="s">
        <v>519</v>
      </c>
      <c r="B42" s="163"/>
      <c r="C42" s="163"/>
      <c r="D42" s="163"/>
      <c r="E42" s="163"/>
      <c r="F42" s="163"/>
      <c r="G42" s="163"/>
      <c r="H42" s="14"/>
      <c r="I42" s="14"/>
      <c r="J42" s="14"/>
      <c r="K42" s="163"/>
      <c r="L42" s="163"/>
      <c r="M42" s="163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hidden="1" customHeight="1">
      <c r="A43" s="461" t="s">
        <v>409</v>
      </c>
      <c r="B43" s="461" t="s">
        <v>520</v>
      </c>
      <c r="C43" s="461" t="s">
        <v>521</v>
      </c>
      <c r="D43" s="461" t="s">
        <v>522</v>
      </c>
      <c r="E43" s="461" t="s">
        <v>523</v>
      </c>
      <c r="F43" s="461" t="s">
        <v>410</v>
      </c>
      <c r="G43" s="461" t="s">
        <v>520</v>
      </c>
      <c r="H43" s="461" t="s">
        <v>521</v>
      </c>
      <c r="I43" s="461" t="s">
        <v>522</v>
      </c>
      <c r="J43" s="461" t="s">
        <v>523</v>
      </c>
      <c r="K43" s="163"/>
      <c r="L43" s="163"/>
      <c r="M43" s="163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hidden="1" customHeight="1">
      <c r="A44" s="461" t="s">
        <v>510</v>
      </c>
      <c r="B44" s="462">
        <v>262.0</v>
      </c>
      <c r="C44" s="236" t="s">
        <v>524</v>
      </c>
      <c r="D44" s="236" t="s">
        <v>525</v>
      </c>
      <c r="E44" s="236" t="s">
        <v>526</v>
      </c>
      <c r="F44" s="461" t="s">
        <v>510</v>
      </c>
      <c r="G44" s="462">
        <v>272.0</v>
      </c>
      <c r="H44" s="236" t="s">
        <v>527</v>
      </c>
      <c r="I44" s="236" t="s">
        <v>528</v>
      </c>
      <c r="J44" s="236" t="s">
        <v>529</v>
      </c>
      <c r="K44" s="163"/>
      <c r="L44" s="163"/>
      <c r="M44" s="163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hidden="1" customHeight="1">
      <c r="A45" s="461" t="s">
        <v>511</v>
      </c>
      <c r="B45" s="462">
        <v>356.0</v>
      </c>
      <c r="C45" s="236" t="s">
        <v>530</v>
      </c>
      <c r="D45" s="236" t="s">
        <v>531</v>
      </c>
      <c r="E45" s="236" t="s">
        <v>531</v>
      </c>
      <c r="F45" s="461" t="s">
        <v>511</v>
      </c>
      <c r="G45" s="462">
        <v>384.0</v>
      </c>
      <c r="H45" s="236" t="s">
        <v>532</v>
      </c>
      <c r="I45" s="236" t="s">
        <v>533</v>
      </c>
      <c r="J45" s="236" t="s">
        <v>534</v>
      </c>
      <c r="K45" s="163"/>
      <c r="L45" s="163"/>
      <c r="M45" s="163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hidden="1" customHeight="1">
      <c r="A46" s="461" t="s">
        <v>512</v>
      </c>
      <c r="B46" s="462">
        <v>438.0</v>
      </c>
      <c r="C46" s="236" t="s">
        <v>535</v>
      </c>
      <c r="D46" s="236" t="s">
        <v>536</v>
      </c>
      <c r="E46" s="236" t="s">
        <v>537</v>
      </c>
      <c r="F46" s="461" t="s">
        <v>512</v>
      </c>
      <c r="G46" s="462">
        <v>515.0</v>
      </c>
      <c r="H46" s="236" t="s">
        <v>538</v>
      </c>
      <c r="I46" s="236" t="s">
        <v>539</v>
      </c>
      <c r="J46" s="236" t="s">
        <v>540</v>
      </c>
      <c r="K46" s="163"/>
      <c r="L46" s="163"/>
      <c r="M46" s="163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hidden="1" customHeight="1">
      <c r="A47" s="461" t="s">
        <v>514</v>
      </c>
      <c r="B47" s="462">
        <v>357.0</v>
      </c>
      <c r="C47" s="236" t="s">
        <v>530</v>
      </c>
      <c r="D47" s="236" t="s">
        <v>541</v>
      </c>
      <c r="E47" s="236" t="s">
        <v>542</v>
      </c>
      <c r="F47" s="461" t="s">
        <v>514</v>
      </c>
      <c r="G47" s="462">
        <v>438.0</v>
      </c>
      <c r="H47" s="236" t="s">
        <v>543</v>
      </c>
      <c r="I47" s="236" t="s">
        <v>534</v>
      </c>
      <c r="J47" s="236" t="s">
        <v>544</v>
      </c>
      <c r="K47" s="163"/>
      <c r="L47" s="163"/>
      <c r="M47" s="163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hidden="1" customHeight="1">
      <c r="A48" s="461" t="s">
        <v>515</v>
      </c>
      <c r="B48" s="462">
        <v>551.0</v>
      </c>
      <c r="C48" s="236" t="s">
        <v>545</v>
      </c>
      <c r="D48" s="236" t="s">
        <v>546</v>
      </c>
      <c r="E48" s="236" t="s">
        <v>547</v>
      </c>
      <c r="F48" s="461" t="s">
        <v>515</v>
      </c>
      <c r="G48" s="462">
        <v>696.0</v>
      </c>
      <c r="H48" s="236" t="s">
        <v>548</v>
      </c>
      <c r="I48" s="236" t="s">
        <v>534</v>
      </c>
      <c r="J48" s="236" t="s">
        <v>549</v>
      </c>
      <c r="K48" s="163"/>
      <c r="L48" s="163"/>
      <c r="M48" s="163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hidden="1" customHeight="1">
      <c r="A49" s="461" t="s">
        <v>517</v>
      </c>
      <c r="B49" s="462">
        <v>547.0</v>
      </c>
      <c r="C49" s="236" t="s">
        <v>550</v>
      </c>
      <c r="D49" s="236" t="s">
        <v>551</v>
      </c>
      <c r="E49" s="236" t="s">
        <v>552</v>
      </c>
      <c r="F49" s="461" t="s">
        <v>517</v>
      </c>
      <c r="G49" s="462">
        <v>869.0</v>
      </c>
      <c r="H49" s="236" t="s">
        <v>553</v>
      </c>
      <c r="I49" s="236" t="s">
        <v>554</v>
      </c>
      <c r="J49" s="236" t="s">
        <v>555</v>
      </c>
      <c r="K49" s="163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hidden="1" customHeight="1">
      <c r="A50" s="461" t="s">
        <v>556</v>
      </c>
      <c r="B50" s="462">
        <v>274.0</v>
      </c>
      <c r="C50" s="236" t="s">
        <v>557</v>
      </c>
      <c r="D50" s="236" t="s">
        <v>558</v>
      </c>
      <c r="E50" s="236" t="s">
        <v>559</v>
      </c>
      <c r="F50" s="461" t="s">
        <v>556</v>
      </c>
      <c r="G50" s="462">
        <v>548.0</v>
      </c>
      <c r="H50" s="236" t="s">
        <v>560</v>
      </c>
      <c r="I50" s="236" t="s">
        <v>561</v>
      </c>
      <c r="J50" s="236" t="s">
        <v>562</v>
      </c>
      <c r="K50" s="163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hidden="1" customHeight="1">
      <c r="A51" s="461" t="s">
        <v>563</v>
      </c>
      <c r="B51" s="462">
        <v>72.0</v>
      </c>
      <c r="C51" s="236" t="s">
        <v>564</v>
      </c>
      <c r="D51" s="236" t="s">
        <v>565</v>
      </c>
      <c r="E51" s="236" t="s">
        <v>566</v>
      </c>
      <c r="F51" s="461" t="s">
        <v>563</v>
      </c>
      <c r="G51" s="462">
        <v>158.0</v>
      </c>
      <c r="H51" s="236" t="s">
        <v>567</v>
      </c>
      <c r="I51" s="236" t="s">
        <v>568</v>
      </c>
      <c r="J51" s="236" t="s">
        <v>569</v>
      </c>
      <c r="K51" s="163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hidden="1" customHeight="1">
      <c r="A52" s="461" t="s">
        <v>68</v>
      </c>
      <c r="B52" s="462">
        <v>2857.0</v>
      </c>
      <c r="C52" s="236" t="s">
        <v>570</v>
      </c>
      <c r="D52" s="236" t="s">
        <v>570</v>
      </c>
      <c r="E52" s="236" t="s">
        <v>570</v>
      </c>
      <c r="F52" s="461" t="s">
        <v>68</v>
      </c>
      <c r="G52" s="462">
        <v>3880.0</v>
      </c>
      <c r="H52" s="236" t="s">
        <v>570</v>
      </c>
      <c r="I52" s="236" t="s">
        <v>570</v>
      </c>
      <c r="J52" s="236" t="s">
        <v>570</v>
      </c>
      <c r="K52" s="163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customHeight="1">
      <c r="A53" s="14"/>
      <c r="B53" s="14"/>
      <c r="C53" s="14"/>
      <c r="D53" s="14"/>
      <c r="E53" s="14"/>
      <c r="F53" s="163"/>
      <c r="G53" s="163"/>
      <c r="K53" s="163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A54" s="463" t="s">
        <v>571</v>
      </c>
      <c r="D54" s="13" t="s">
        <v>572</v>
      </c>
      <c r="E54" s="14"/>
      <c r="F54" s="163"/>
      <c r="G54" s="163"/>
      <c r="K54" s="163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A55" s="386" t="s">
        <v>500</v>
      </c>
      <c r="B55" s="386" t="s">
        <v>409</v>
      </c>
      <c r="C55" s="386" t="s">
        <v>410</v>
      </c>
      <c r="D55" s="14" t="s">
        <v>409</v>
      </c>
      <c r="E55" s="14" t="s">
        <v>410</v>
      </c>
      <c r="F55" s="163"/>
      <c r="G55" s="163"/>
      <c r="H55" s="163"/>
      <c r="I55" s="163"/>
      <c r="J55" s="163"/>
      <c r="K55" s="163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A56" s="464" t="s">
        <v>573</v>
      </c>
      <c r="B56" s="465">
        <v>3.0</v>
      </c>
      <c r="C56" s="465">
        <v>3.0</v>
      </c>
      <c r="D56" s="14">
        <f t="shared" ref="D56:E56" si="33">B56/100</f>
        <v>0.03</v>
      </c>
      <c r="E56" s="14">
        <f t="shared" si="33"/>
        <v>0.03</v>
      </c>
      <c r="F56" s="163"/>
      <c r="G56" s="163"/>
      <c r="H56" s="163"/>
      <c r="I56" s="163"/>
      <c r="J56" s="163"/>
      <c r="K56" s="163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466" t="s">
        <v>574</v>
      </c>
      <c r="B57" s="465">
        <f>AVERAGE(3,13)</f>
        <v>8</v>
      </c>
      <c r="C57" s="465">
        <f>AVERAGE(3,12)</f>
        <v>7.5</v>
      </c>
      <c r="D57" s="14">
        <f t="shared" ref="D57:E57" si="34">B57/100</f>
        <v>0.08</v>
      </c>
      <c r="E57" s="14">
        <f t="shared" si="34"/>
        <v>0.075</v>
      </c>
      <c r="F57" s="163"/>
      <c r="G57" s="163"/>
      <c r="H57" s="163"/>
      <c r="I57" s="163"/>
      <c r="J57" s="163"/>
      <c r="K57" s="163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467" t="s">
        <v>575</v>
      </c>
      <c r="B58" s="468">
        <f>AVERAGE(8.9,16)</f>
        <v>12.45</v>
      </c>
      <c r="C58" s="468">
        <f>AVERAGE(3.3,10)</f>
        <v>6.65</v>
      </c>
      <c r="D58" s="14">
        <f t="shared" ref="D58:E58" si="35">B58/100</f>
        <v>0.1245</v>
      </c>
      <c r="E58" s="14">
        <f t="shared" si="35"/>
        <v>0.0665</v>
      </c>
      <c r="F58" s="163"/>
      <c r="G58" s="163"/>
      <c r="H58" s="163"/>
      <c r="I58" s="163"/>
      <c r="J58" s="163"/>
      <c r="K58" s="163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163" t="s">
        <v>417</v>
      </c>
      <c r="B59" s="440">
        <v>4.4</v>
      </c>
      <c r="C59" s="440">
        <v>2.8</v>
      </c>
      <c r="D59" s="14">
        <f t="shared" ref="D59:E59" si="36">B59/100</f>
        <v>0.044</v>
      </c>
      <c r="E59" s="14">
        <f t="shared" si="36"/>
        <v>0.028</v>
      </c>
      <c r="F59" s="163"/>
      <c r="G59" s="163"/>
      <c r="H59" s="163"/>
      <c r="I59" s="163"/>
      <c r="J59" s="163"/>
      <c r="K59" s="163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163" t="s">
        <v>418</v>
      </c>
      <c r="B60" s="285">
        <v>7.333333333333333</v>
      </c>
      <c r="C60" s="285">
        <v>5.566666666666666</v>
      </c>
      <c r="D60" s="14">
        <f t="shared" ref="D60:E60" si="37">B60/100</f>
        <v>0.07333333333</v>
      </c>
      <c r="E60" s="14">
        <f t="shared" si="37"/>
        <v>0.05566666667</v>
      </c>
      <c r="F60" s="163"/>
      <c r="G60" s="163"/>
      <c r="H60" s="163"/>
      <c r="I60" s="163"/>
      <c r="J60" s="163"/>
      <c r="K60" s="163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163" t="s">
        <v>391</v>
      </c>
      <c r="B61" s="285">
        <v>11.516666666666666</v>
      </c>
      <c r="C61" s="285">
        <v>8.341785016894653</v>
      </c>
      <c r="D61" s="14">
        <f t="shared" ref="D61:E61" si="38">B61/100</f>
        <v>0.1151666667</v>
      </c>
      <c r="E61" s="14">
        <f t="shared" si="38"/>
        <v>0.08341785017</v>
      </c>
      <c r="F61" s="163"/>
      <c r="G61" s="163"/>
      <c r="H61" s="163"/>
      <c r="I61" s="163"/>
      <c r="J61" s="163"/>
      <c r="K61" s="163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163" t="s">
        <v>392</v>
      </c>
      <c r="B62" s="285">
        <v>16.349999999999998</v>
      </c>
      <c r="C62" s="285">
        <v>12.541785016894655</v>
      </c>
      <c r="D62" s="14">
        <f t="shared" ref="D62:E62" si="39">B62/100</f>
        <v>0.1635</v>
      </c>
      <c r="E62" s="14">
        <f t="shared" si="39"/>
        <v>0.1254178502</v>
      </c>
      <c r="F62" s="163"/>
      <c r="G62" s="163"/>
      <c r="H62" s="163"/>
      <c r="I62" s="163"/>
      <c r="J62" s="163"/>
      <c r="K62" s="163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163" t="s">
        <v>393</v>
      </c>
      <c r="B63" s="285">
        <v>22.8</v>
      </c>
      <c r="C63" s="285">
        <v>20.166666666666668</v>
      </c>
      <c r="D63" s="14">
        <f t="shared" ref="D63:E63" si="40">B63/100</f>
        <v>0.228</v>
      </c>
      <c r="E63" s="14">
        <f t="shared" si="40"/>
        <v>0.2016666667</v>
      </c>
      <c r="F63" s="163"/>
      <c r="G63" s="163"/>
      <c r="H63" s="163"/>
      <c r="I63" s="163"/>
      <c r="J63" s="163"/>
      <c r="K63" s="163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163" t="s">
        <v>394</v>
      </c>
      <c r="B64" s="285">
        <v>27.166666666666668</v>
      </c>
      <c r="C64" s="285">
        <v>21.833333333333336</v>
      </c>
      <c r="D64" s="14">
        <f t="shared" ref="D64:E64" si="41">B64/100</f>
        <v>0.2716666667</v>
      </c>
      <c r="E64" s="14">
        <f t="shared" si="41"/>
        <v>0.2183333333</v>
      </c>
      <c r="F64" s="163"/>
      <c r="G64" s="163"/>
      <c r="H64" s="163"/>
      <c r="I64" s="163"/>
      <c r="J64" s="163"/>
      <c r="K64" s="163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A65" s="163" t="s">
        <v>395</v>
      </c>
      <c r="B65" s="285">
        <v>31.58333333333333</v>
      </c>
      <c r="C65" s="285">
        <v>23.116666666666667</v>
      </c>
      <c r="D65" s="14">
        <f t="shared" ref="D65:E65" si="42">B65/100</f>
        <v>0.3158333333</v>
      </c>
      <c r="E65" s="14">
        <f t="shared" si="42"/>
        <v>0.2311666667</v>
      </c>
      <c r="F65" s="163"/>
      <c r="G65" s="163"/>
      <c r="H65" s="163"/>
      <c r="I65" s="163"/>
      <c r="J65" s="163"/>
      <c r="K65" s="163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163" t="s">
        <v>396</v>
      </c>
      <c r="B66" s="285">
        <v>36.349999999999994</v>
      </c>
      <c r="C66" s="285">
        <v>26.650000000000002</v>
      </c>
      <c r="D66" s="14">
        <f t="shared" ref="D66:E66" si="43">B66/100</f>
        <v>0.3635</v>
      </c>
      <c r="E66" s="14">
        <f t="shared" si="43"/>
        <v>0.2665</v>
      </c>
      <c r="F66" s="14"/>
      <c r="G66" s="14"/>
      <c r="H66" s="163"/>
      <c r="I66" s="163"/>
      <c r="J66" s="163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163" t="s">
        <v>397</v>
      </c>
      <c r="B67" s="285">
        <v>36.85</v>
      </c>
      <c r="C67" s="285">
        <v>30.8</v>
      </c>
      <c r="D67" s="14">
        <f t="shared" ref="D67:E67" si="44">B67/100</f>
        <v>0.3685</v>
      </c>
      <c r="E67" s="14">
        <f t="shared" si="44"/>
        <v>0.308</v>
      </c>
      <c r="F67" s="14"/>
      <c r="G67" s="14"/>
      <c r="H67" s="163"/>
      <c r="I67" s="163"/>
      <c r="J67" s="163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163" t="s">
        <v>398</v>
      </c>
      <c r="B68" s="285">
        <v>36.85</v>
      </c>
      <c r="C68" s="285">
        <v>30.8</v>
      </c>
      <c r="D68" s="14">
        <f t="shared" ref="D68:E68" si="45">B68/100</f>
        <v>0.3685</v>
      </c>
      <c r="E68" s="14">
        <f t="shared" si="45"/>
        <v>0.308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163" t="s">
        <v>502</v>
      </c>
      <c r="B69" s="285">
        <v>28.499999999999996</v>
      </c>
      <c r="C69" s="285">
        <v>26.8</v>
      </c>
      <c r="D69" s="14">
        <f t="shared" ref="D69:E69" si="46">B69/100</f>
        <v>0.285</v>
      </c>
      <c r="E69" s="14">
        <f t="shared" si="46"/>
        <v>0.268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A70" s="163" t="s">
        <v>503</v>
      </c>
      <c r="B70" s="285">
        <v>25.733333333333334</v>
      </c>
      <c r="C70" s="285">
        <v>24.833333333333332</v>
      </c>
      <c r="D70" s="14">
        <f t="shared" ref="D70:E70" si="47">B70/100</f>
        <v>0.2573333333</v>
      </c>
      <c r="E70" s="14">
        <f t="shared" si="47"/>
        <v>0.2483333333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A71" s="163" t="s">
        <v>459</v>
      </c>
      <c r="B71" s="285">
        <v>20.2</v>
      </c>
      <c r="C71" s="285">
        <v>20.9</v>
      </c>
      <c r="D71" s="14">
        <f t="shared" ref="D71:E71" si="48">B71/100</f>
        <v>0.202</v>
      </c>
      <c r="E71" s="14">
        <f t="shared" si="48"/>
        <v>0.209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A72" s="163" t="s">
        <v>576</v>
      </c>
      <c r="B72" s="285">
        <f t="shared" ref="B72:C72" si="49">AVERAGE(B60:B71)</f>
        <v>25.10277778</v>
      </c>
      <c r="C72" s="285">
        <f t="shared" si="49"/>
        <v>21.02918639</v>
      </c>
      <c r="D72" s="14">
        <f t="shared" ref="D72:E72" si="50">B72/100</f>
        <v>0.2510277778</v>
      </c>
      <c r="E72" s="14">
        <f t="shared" si="50"/>
        <v>0.2102918639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A74" s="15"/>
      <c r="B74" s="196" t="s">
        <v>577</v>
      </c>
      <c r="C74" s="10"/>
      <c r="D74" s="196" t="s">
        <v>578</v>
      </c>
      <c r="E74" s="10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A75" s="469" t="str">
        <f>HYPERLINK("https://www.czso.cz/csu/czso/zamestnanost-a-nezamestnanost-podle-vysledku-vsps-ctvrtletni-udaje-1-ctvrtleti-2023-txhz70esxr","Věková struktura populace (tis.)")</f>
        <v>Věková struktura populace (tis.)</v>
      </c>
      <c r="B75" s="17" t="s">
        <v>283</v>
      </c>
      <c r="C75" s="17" t="s">
        <v>284</v>
      </c>
      <c r="D75" s="15" t="s">
        <v>283</v>
      </c>
      <c r="E75" s="15" t="s">
        <v>284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A76" s="470" t="s">
        <v>579</v>
      </c>
      <c r="B76" s="471">
        <v>864.94757317</v>
      </c>
      <c r="C76" s="251">
        <v>869.29539566</v>
      </c>
      <c r="D76" s="470">
        <f t="shared" ref="D76:E76" si="51">AVERAGE(B56:B58)</f>
        <v>7.816666667</v>
      </c>
      <c r="E76" s="471">
        <f t="shared" si="51"/>
        <v>5.716666667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A77" s="470" t="s">
        <v>417</v>
      </c>
      <c r="B77" s="471">
        <v>277.07609765</v>
      </c>
      <c r="C77" s="251">
        <v>282.25362659</v>
      </c>
      <c r="D77" s="470">
        <v>15.4</v>
      </c>
      <c r="E77" s="471">
        <v>10.2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A78" s="470" t="s">
        <v>418</v>
      </c>
      <c r="B78" s="471">
        <v>247.14557297</v>
      </c>
      <c r="C78" s="251">
        <v>257.6890209</v>
      </c>
      <c r="D78" s="470">
        <v>8.0</v>
      </c>
      <c r="E78" s="471">
        <v>11.0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customHeight="1">
      <c r="A79" s="470" t="s">
        <v>391</v>
      </c>
      <c r="B79" s="471">
        <v>280.94271952</v>
      </c>
      <c r="C79" s="251">
        <v>288.92500045</v>
      </c>
      <c r="D79" s="470">
        <v>7.9</v>
      </c>
      <c r="E79" s="471">
        <v>13.4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customHeight="1">
      <c r="A80" s="470" t="s">
        <v>392</v>
      </c>
      <c r="B80" s="471">
        <v>350.78479013</v>
      </c>
      <c r="C80" s="251">
        <v>298.99013701</v>
      </c>
      <c r="D80" s="470">
        <v>14.2</v>
      </c>
      <c r="E80" s="471">
        <v>14.6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customHeight="1">
      <c r="A81" s="470" t="s">
        <v>393</v>
      </c>
      <c r="B81" s="471">
        <v>365.73546512</v>
      </c>
      <c r="C81" s="251">
        <v>315.61338815</v>
      </c>
      <c r="D81" s="470">
        <v>24.0</v>
      </c>
      <c r="E81" s="471">
        <v>15.7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customHeight="1">
      <c r="A82" s="470" t="s">
        <v>394</v>
      </c>
      <c r="B82" s="471">
        <v>406.18866728</v>
      </c>
      <c r="C82" s="251">
        <v>357.17651115</v>
      </c>
      <c r="D82" s="470">
        <v>35.4</v>
      </c>
      <c r="E82" s="471">
        <v>26.4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customHeight="1">
      <c r="A83" s="470" t="s">
        <v>395</v>
      </c>
      <c r="B83" s="471">
        <v>462.47388985</v>
      </c>
      <c r="C83" s="251">
        <v>418.17124505</v>
      </c>
      <c r="D83" s="470">
        <v>39.3</v>
      </c>
      <c r="E83" s="471">
        <v>22.7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customHeight="1">
      <c r="A84" s="470" t="s">
        <v>396</v>
      </c>
      <c r="B84" s="471">
        <v>361.14481163</v>
      </c>
      <c r="C84" s="251">
        <v>318.14253412</v>
      </c>
      <c r="D84" s="470">
        <v>41.6</v>
      </c>
      <c r="E84" s="471">
        <v>32.3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A85" s="470" t="s">
        <v>397</v>
      </c>
      <c r="B85" s="471">
        <v>332.93240589</v>
      </c>
      <c r="C85" s="251">
        <v>295.4911899</v>
      </c>
      <c r="D85" s="470">
        <v>30.0</v>
      </c>
      <c r="E85" s="471">
        <v>31.9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A86" s="470" t="s">
        <v>398</v>
      </c>
      <c r="B86" s="471">
        <v>282.40278097</v>
      </c>
      <c r="C86" s="251">
        <v>313.25588146</v>
      </c>
      <c r="D86" s="470">
        <v>41.1</v>
      </c>
      <c r="E86" s="471">
        <v>41.7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A87" s="472" t="s">
        <v>580</v>
      </c>
      <c r="B87" s="473">
        <v>865.39923744</v>
      </c>
      <c r="C87" s="274">
        <v>1288.92108289</v>
      </c>
      <c r="D87" s="472">
        <f t="shared" ref="D87:E87" si="52">AVERAGE(B69:B71)</f>
        <v>24.81111111</v>
      </c>
      <c r="E87" s="473">
        <f t="shared" si="52"/>
        <v>24.17777778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A88" s="275" t="s">
        <v>581</v>
      </c>
      <c r="B88" s="474"/>
      <c r="C88" s="474"/>
      <c r="D88" s="474">
        <f>IFERROR(__xludf.DUMMYFUNCTION("AVERAGE.WEIGHTED(D75:D85,B75:B85)"),21.91469560229878)</f>
        <v>21.9146956</v>
      </c>
      <c r="E88" s="276">
        <f>IFERROR(__xludf.DUMMYFUNCTION("AVERAGE.WEIGHTED(E75:E85,C75:C85)"),16.88368267456984)</f>
        <v>16.88368267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A89" s="39"/>
      <c r="B89" s="39">
        <f t="shared" ref="B89:C89" si="53">SUM(B76:B87)</f>
        <v>5097.174012</v>
      </c>
      <c r="C89" s="39">
        <f t="shared" si="53"/>
        <v>5303.925013</v>
      </c>
      <c r="D89" s="39"/>
      <c r="E89" s="39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A90" s="14"/>
      <c r="B90" s="14"/>
      <c r="C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A91" s="13" t="s">
        <v>582</v>
      </c>
      <c r="B91" s="88" t="str">
        <f>HYPERLINK("http://ghdx.healthdata.org/record/ihme-data/gbd-2015-obesity-and-overweight-prevalence-1980-2015","Zdroj")</f>
        <v>Zdroj</v>
      </c>
      <c r="C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A92" s="14"/>
      <c r="B92" s="14"/>
      <c r="C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customHeight="1">
      <c r="A93" s="282" t="s">
        <v>468</v>
      </c>
      <c r="B93" s="475" t="s">
        <v>409</v>
      </c>
      <c r="C93" s="475" t="s">
        <v>410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customHeight="1">
      <c r="A94" s="476">
        <v>43594.0</v>
      </c>
      <c r="B94" s="477">
        <v>0.0513</v>
      </c>
      <c r="C94" s="477">
        <v>0.0468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customHeight="1">
      <c r="A95" s="476">
        <v>43752.0</v>
      </c>
      <c r="B95" s="477">
        <v>0.0278</v>
      </c>
      <c r="C95" s="477">
        <v>0.0163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customHeight="1">
      <c r="A96" s="380" t="s">
        <v>417</v>
      </c>
      <c r="B96" s="477">
        <v>0.0219</v>
      </c>
      <c r="C96" s="477">
        <v>0.0152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customHeight="1">
      <c r="A97" s="380" t="s">
        <v>418</v>
      </c>
      <c r="B97" s="477">
        <v>0.0254</v>
      </c>
      <c r="C97" s="477">
        <v>0.0283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customHeight="1">
      <c r="A98" s="380" t="s">
        <v>391</v>
      </c>
      <c r="B98" s="477">
        <v>0.0683</v>
      </c>
      <c r="C98" s="477">
        <v>0.027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customHeight="1">
      <c r="A99" s="380" t="s">
        <v>392</v>
      </c>
      <c r="B99" s="477">
        <v>0.0697</v>
      </c>
      <c r="C99" s="477">
        <v>0.0706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customHeight="1">
      <c r="A100" s="380" t="s">
        <v>393</v>
      </c>
      <c r="B100" s="477">
        <v>0.1081</v>
      </c>
      <c r="C100" s="477">
        <v>0.0902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A101" s="380" t="s">
        <v>394</v>
      </c>
      <c r="B101" s="477">
        <v>0.154</v>
      </c>
      <c r="C101" s="477">
        <v>0.1479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A102" s="380" t="s">
        <v>395</v>
      </c>
      <c r="B102" s="477">
        <v>0.1954</v>
      </c>
      <c r="C102" s="477">
        <v>0.2004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A103" s="380" t="s">
        <v>396</v>
      </c>
      <c r="B103" s="477">
        <v>0.2038</v>
      </c>
      <c r="C103" s="477">
        <v>0.217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380" t="s">
        <v>397</v>
      </c>
      <c r="B104" s="477">
        <v>0.2106</v>
      </c>
      <c r="C104" s="477">
        <v>0.2475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A105" s="380" t="s">
        <v>398</v>
      </c>
      <c r="B105" s="477">
        <v>0.2409</v>
      </c>
      <c r="C105" s="477">
        <v>0.2734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A106" s="380" t="s">
        <v>502</v>
      </c>
      <c r="B106" s="477">
        <v>0.2072</v>
      </c>
      <c r="C106" s="477">
        <v>0.3175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A107" s="380" t="s">
        <v>503</v>
      </c>
      <c r="B107" s="477">
        <v>0.1872</v>
      </c>
      <c r="C107" s="477">
        <v>0.283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A108" s="380" t="s">
        <v>583</v>
      </c>
      <c r="B108" s="477">
        <v>0.1491</v>
      </c>
      <c r="C108" s="477">
        <v>0.2093</v>
      </c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A109" s="478" t="s">
        <v>584</v>
      </c>
      <c r="B109" s="479">
        <v>0.1179</v>
      </c>
      <c r="C109" s="479">
        <v>0.2611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A110" s="14" t="s">
        <v>68</v>
      </c>
      <c r="B110" s="18">
        <f>IFERROR(__xludf.DUMMYFUNCTION("AVERAGE.WEIGHTED(B94:B109,J118:J133)"),0.13272280905941414)</f>
        <v>0.1327228091</v>
      </c>
      <c r="C110" s="18">
        <f>IFERROR(__xludf.DUMMYFUNCTION("AVERAGE.WEIGHTED(C94:C109,K118:K133)"),0.16186479694103822)</f>
        <v>0.1618647969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A111" s="14" t="s">
        <v>585</v>
      </c>
      <c r="B111" s="18">
        <f>IFERROR(__xludf.DUMMYFUNCTION("AVERAGE.WEIGHTED(B97:B109,J121:J133)"),0.15318022499021716)</f>
        <v>0.153180225</v>
      </c>
      <c r="C111" s="18">
        <f>IFERROR(__xludf.DUMMYFUNCTION("AVERAGE.WEIGHTED(C97:C109,K121:K133)"),0.1872690629354024)</f>
        <v>0.1872690629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A112" s="14"/>
      <c r="B112" s="14"/>
      <c r="C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A113" s="14"/>
      <c r="B113" s="14"/>
      <c r="C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A114" s="480" t="s">
        <v>586</v>
      </c>
      <c r="B114" s="480"/>
      <c r="C114" s="480"/>
      <c r="D114" s="481" t="str">
        <f>HYPERLINK("https://www.czso.cz/csu/czso/vekove-slozeni-obyvatelstva-2022","ČSÚ")</f>
        <v>ČSÚ</v>
      </c>
      <c r="E114" s="410" t="s">
        <v>587</v>
      </c>
      <c r="F114" s="410"/>
      <c r="G114" s="410"/>
      <c r="H114" s="410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A115" s="482"/>
      <c r="B115" s="48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A116" s="14" t="s">
        <v>468</v>
      </c>
      <c r="B116" s="484" t="s">
        <v>283</v>
      </c>
      <c r="C116" s="485" t="s">
        <v>284</v>
      </c>
      <c r="D116" s="14"/>
      <c r="E116" s="386" t="s">
        <v>500</v>
      </c>
      <c r="F116" s="486" t="s">
        <v>409</v>
      </c>
      <c r="G116" s="486" t="s">
        <v>410</v>
      </c>
      <c r="H116" s="14"/>
      <c r="I116" s="14" t="s">
        <v>500</v>
      </c>
      <c r="J116" s="14" t="s">
        <v>409</v>
      </c>
      <c r="K116" s="14" t="s">
        <v>410</v>
      </c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A117" s="487">
        <v>0.0</v>
      </c>
      <c r="B117" s="488">
        <v>57094.0</v>
      </c>
      <c r="C117" s="488">
        <v>54565.0</v>
      </c>
      <c r="D117" s="14"/>
      <c r="E117" s="163" t="s">
        <v>573</v>
      </c>
      <c r="F117" s="24">
        <f t="shared" ref="F117:G117" si="54">SUM(B117:B121)</f>
        <v>285445</v>
      </c>
      <c r="G117" s="24">
        <f t="shared" si="54"/>
        <v>272653</v>
      </c>
      <c r="H117" s="14"/>
      <c r="I117" s="14" t="s">
        <v>573</v>
      </c>
      <c r="J117" s="14">
        <v>285445.0</v>
      </c>
      <c r="K117" s="14">
        <v>272653.0</v>
      </c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A118" s="487">
        <v>1.0</v>
      </c>
      <c r="B118" s="488">
        <v>55165.0</v>
      </c>
      <c r="C118" s="488">
        <v>52855.0</v>
      </c>
      <c r="D118" s="14"/>
      <c r="E118" s="467" t="s">
        <v>574</v>
      </c>
      <c r="F118" s="24">
        <f t="shared" ref="F118:G118" si="55">SUM(B122:B126)</f>
        <v>283568</v>
      </c>
      <c r="G118" s="24">
        <f t="shared" si="55"/>
        <v>269538</v>
      </c>
      <c r="H118" s="14"/>
      <c r="I118" s="14" t="s">
        <v>574</v>
      </c>
      <c r="J118" s="14">
        <v>283568.0</v>
      </c>
      <c r="K118" s="14">
        <v>269538.0</v>
      </c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A119" s="487">
        <v>2.0</v>
      </c>
      <c r="B119" s="488">
        <v>56883.0</v>
      </c>
      <c r="C119" s="488">
        <v>54017.0</v>
      </c>
      <c r="D119" s="14"/>
      <c r="E119" s="467" t="s">
        <v>575</v>
      </c>
      <c r="F119" s="24">
        <f t="shared" ref="F119:G119" si="56">SUM(B127:B131)</f>
        <v>297849</v>
      </c>
      <c r="G119" s="24">
        <f t="shared" si="56"/>
        <v>284355</v>
      </c>
      <c r="H119" s="14"/>
      <c r="I119" s="14" t="s">
        <v>575</v>
      </c>
      <c r="J119" s="14">
        <v>297849.0</v>
      </c>
      <c r="K119" s="14">
        <v>284355.0</v>
      </c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A120" s="487">
        <v>3.0</v>
      </c>
      <c r="B120" s="488">
        <v>57829.0</v>
      </c>
      <c r="C120" s="488">
        <v>55497.0</v>
      </c>
      <c r="D120" s="14"/>
      <c r="E120" s="163" t="s">
        <v>417</v>
      </c>
      <c r="F120" s="24">
        <f t="shared" ref="F120:G120" si="57">SUM(B132:B136)</f>
        <v>258781</v>
      </c>
      <c r="G120" s="24">
        <f t="shared" si="57"/>
        <v>244524</v>
      </c>
      <c r="H120" s="14"/>
      <c r="I120" s="14" t="s">
        <v>417</v>
      </c>
      <c r="J120" s="14">
        <v>258781.0</v>
      </c>
      <c r="K120" s="14">
        <v>244524.0</v>
      </c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A121" s="487">
        <v>4.0</v>
      </c>
      <c r="B121" s="488">
        <v>58474.0</v>
      </c>
      <c r="C121" s="488">
        <v>55719.0</v>
      </c>
      <c r="D121" s="14"/>
      <c r="E121" s="163" t="s">
        <v>418</v>
      </c>
      <c r="F121" s="24">
        <f t="shared" ref="F121:G121" si="58">SUM(B137:B141)</f>
        <v>245541</v>
      </c>
      <c r="G121" s="24">
        <f t="shared" si="58"/>
        <v>231465</v>
      </c>
      <c r="H121" s="14"/>
      <c r="I121" s="14" t="s">
        <v>418</v>
      </c>
      <c r="J121" s="14">
        <v>245541.0</v>
      </c>
      <c r="K121" s="14">
        <v>231465.0</v>
      </c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A122" s="487">
        <v>5.0</v>
      </c>
      <c r="B122" s="488">
        <v>58232.0</v>
      </c>
      <c r="C122" s="488">
        <v>55232.0</v>
      </c>
      <c r="D122" s="14"/>
      <c r="E122" s="163" t="s">
        <v>391</v>
      </c>
      <c r="F122" s="24">
        <f t="shared" ref="F122:G122" si="59">SUM(B142:B146)</f>
        <v>296248</v>
      </c>
      <c r="G122" s="24">
        <f t="shared" si="59"/>
        <v>276345</v>
      </c>
      <c r="H122" s="14"/>
      <c r="I122" s="14" t="s">
        <v>391</v>
      </c>
      <c r="J122" s="14">
        <v>296248.0</v>
      </c>
      <c r="K122" s="14">
        <v>276345.0</v>
      </c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A123" s="487">
        <v>6.0</v>
      </c>
      <c r="B123" s="488">
        <v>57206.0</v>
      </c>
      <c r="C123" s="488">
        <v>54168.0</v>
      </c>
      <c r="D123" s="14"/>
      <c r="E123" s="163" t="s">
        <v>392</v>
      </c>
      <c r="F123" s="232">
        <f t="shared" ref="F123:G123" si="60">SUM(B147:B151)</f>
        <v>355095</v>
      </c>
      <c r="G123" s="232">
        <f t="shared" si="60"/>
        <v>330918</v>
      </c>
      <c r="H123" s="14"/>
      <c r="I123" s="14" t="s">
        <v>392</v>
      </c>
      <c r="J123" s="14">
        <v>355095.0</v>
      </c>
      <c r="K123" s="14">
        <v>330918.0</v>
      </c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487">
        <v>7.0</v>
      </c>
      <c r="B124" s="488">
        <v>56714.0</v>
      </c>
      <c r="C124" s="488">
        <v>53884.0</v>
      </c>
      <c r="D124" s="14"/>
      <c r="E124" s="163" t="s">
        <v>393</v>
      </c>
      <c r="F124" s="232">
        <f t="shared" ref="F124:G124" si="61">SUM(B152:B156)</f>
        <v>369394</v>
      </c>
      <c r="G124" s="232">
        <f t="shared" si="61"/>
        <v>344606</v>
      </c>
      <c r="H124" s="14"/>
      <c r="I124" s="14" t="s">
        <v>393</v>
      </c>
      <c r="J124" s="14">
        <v>369394.0</v>
      </c>
      <c r="K124" s="14">
        <v>344606.0</v>
      </c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A125" s="487">
        <v>8.0</v>
      </c>
      <c r="B125" s="488">
        <v>55330.0</v>
      </c>
      <c r="C125" s="488">
        <v>52589.0</v>
      </c>
      <c r="D125" s="14"/>
      <c r="E125" s="163" t="s">
        <v>394</v>
      </c>
      <c r="F125" s="232">
        <f t="shared" ref="F125:G125" si="62">SUM(B157:B161)</f>
        <v>429143</v>
      </c>
      <c r="G125" s="232">
        <f t="shared" si="62"/>
        <v>401338</v>
      </c>
      <c r="H125" s="14"/>
      <c r="I125" s="14" t="s">
        <v>394</v>
      </c>
      <c r="J125" s="14">
        <v>429143.0</v>
      </c>
      <c r="K125" s="14">
        <v>401338.0</v>
      </c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A126" s="487">
        <v>9.0</v>
      </c>
      <c r="B126" s="488">
        <v>56086.0</v>
      </c>
      <c r="C126" s="488">
        <v>53665.0</v>
      </c>
      <c r="D126" s="14"/>
      <c r="E126" s="163" t="s">
        <v>395</v>
      </c>
      <c r="F126" s="232">
        <f t="shared" ref="F126:G126" si="63">SUM(B162:B166)</f>
        <v>462101</v>
      </c>
      <c r="G126" s="232">
        <f t="shared" si="63"/>
        <v>437496</v>
      </c>
      <c r="H126" s="14"/>
      <c r="I126" s="14" t="s">
        <v>395</v>
      </c>
      <c r="J126" s="14">
        <v>462101.0</v>
      </c>
      <c r="K126" s="14">
        <v>437496.0</v>
      </c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A127" s="487">
        <v>10.0</v>
      </c>
      <c r="B127" s="488">
        <v>56335.0</v>
      </c>
      <c r="C127" s="488">
        <v>53570.0</v>
      </c>
      <c r="D127" s="14"/>
      <c r="E127" s="163" t="s">
        <v>396</v>
      </c>
      <c r="F127" s="232">
        <f t="shared" ref="F127:G127" si="64">SUM(B167:B171)</f>
        <v>356108</v>
      </c>
      <c r="G127" s="232">
        <f t="shared" si="64"/>
        <v>342578</v>
      </c>
      <c r="H127" s="14"/>
      <c r="I127" s="14" t="s">
        <v>396</v>
      </c>
      <c r="J127" s="14">
        <v>356108.0</v>
      </c>
      <c r="K127" s="14">
        <v>342578.0</v>
      </c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A128" s="487">
        <v>11.0</v>
      </c>
      <c r="B128" s="488">
        <v>60361.0</v>
      </c>
      <c r="C128" s="488">
        <v>57196.0</v>
      </c>
      <c r="D128" s="14"/>
      <c r="E128" s="163" t="s">
        <v>397</v>
      </c>
      <c r="F128" s="232">
        <f t="shared" ref="F128:G128" si="65">SUM(B172:B176)</f>
        <v>338433</v>
      </c>
      <c r="G128" s="232">
        <f t="shared" si="65"/>
        <v>334590</v>
      </c>
      <c r="H128" s="14"/>
      <c r="I128" s="14" t="s">
        <v>397</v>
      </c>
      <c r="J128" s="14">
        <v>338433.0</v>
      </c>
      <c r="K128" s="14">
        <v>334590.0</v>
      </c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A129" s="487">
        <v>12.0</v>
      </c>
      <c r="B129" s="488">
        <v>60561.0</v>
      </c>
      <c r="C129" s="488">
        <v>58213.0</v>
      </c>
      <c r="D129" s="14"/>
      <c r="E129" s="163" t="s">
        <v>398</v>
      </c>
      <c r="F129" s="232">
        <f t="shared" ref="F129:G129" si="66">SUM(B177:B181)</f>
        <v>293288</v>
      </c>
      <c r="G129" s="232">
        <f t="shared" si="66"/>
        <v>306198</v>
      </c>
      <c r="H129" s="14"/>
      <c r="I129" s="14" t="s">
        <v>398</v>
      </c>
      <c r="J129" s="14">
        <v>293288.0</v>
      </c>
      <c r="K129" s="14">
        <v>306198.0</v>
      </c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A130" s="487">
        <v>13.0</v>
      </c>
      <c r="B130" s="488">
        <v>61510.0</v>
      </c>
      <c r="C130" s="488">
        <v>58721.0</v>
      </c>
      <c r="D130" s="14"/>
      <c r="E130" s="163" t="s">
        <v>502</v>
      </c>
      <c r="F130" s="232">
        <f t="shared" ref="F130:G130" si="67">SUM(B182:B186)</f>
        <v>308329</v>
      </c>
      <c r="G130" s="232">
        <f t="shared" si="67"/>
        <v>351367</v>
      </c>
      <c r="H130" s="14"/>
      <c r="I130" s="14" t="s">
        <v>502</v>
      </c>
      <c r="J130" s="14">
        <v>308329.0</v>
      </c>
      <c r="K130" s="14">
        <v>351367.0</v>
      </c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A131" s="487">
        <v>14.0</v>
      </c>
      <c r="B131" s="488">
        <v>59082.0</v>
      </c>
      <c r="C131" s="488">
        <v>56655.0</v>
      </c>
      <c r="D131" s="14"/>
      <c r="E131" s="163" t="s">
        <v>503</v>
      </c>
      <c r="F131" s="232">
        <f t="shared" ref="F131:G131" si="68">SUM(B187:B191)</f>
        <v>271465</v>
      </c>
      <c r="G131" s="232">
        <f t="shared" si="68"/>
        <v>343712</v>
      </c>
      <c r="H131" s="14"/>
      <c r="I131" s="14" t="s">
        <v>503</v>
      </c>
      <c r="J131" s="14">
        <v>271465.0</v>
      </c>
      <c r="K131" s="14">
        <v>343712.0</v>
      </c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A132" s="487">
        <v>15.0</v>
      </c>
      <c r="B132" s="488">
        <v>55190.0</v>
      </c>
      <c r="C132" s="488">
        <v>51881.0</v>
      </c>
      <c r="D132" s="14"/>
      <c r="E132" s="163" t="s">
        <v>459</v>
      </c>
      <c r="F132" s="232">
        <f t="shared" ref="F132:G132" si="69">SUM(B192:B217)</f>
        <v>332987</v>
      </c>
      <c r="G132" s="232">
        <f t="shared" si="69"/>
        <v>561249</v>
      </c>
      <c r="H132" s="14"/>
      <c r="I132" s="14" t="s">
        <v>583</v>
      </c>
      <c r="J132" s="24">
        <f t="shared" ref="J132:K132" si="70">SUM(B192:B196)</f>
        <v>180316</v>
      </c>
      <c r="K132" s="24">
        <f t="shared" si="70"/>
        <v>262777</v>
      </c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A133" s="487">
        <v>16.0</v>
      </c>
      <c r="B133" s="488">
        <v>53079.0</v>
      </c>
      <c r="C133" s="488">
        <v>50306.0</v>
      </c>
      <c r="D133" s="14"/>
      <c r="E133" s="163"/>
      <c r="F133" s="285"/>
      <c r="G133" s="285"/>
      <c r="H133" s="14"/>
      <c r="I133" s="14" t="s">
        <v>584</v>
      </c>
      <c r="J133" s="24">
        <f t="shared" ref="J133:K133" si="71">SUM(B197:B217)</f>
        <v>152671</v>
      </c>
      <c r="K133" s="24">
        <f t="shared" si="71"/>
        <v>298472</v>
      </c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A134" s="487">
        <v>17.0</v>
      </c>
      <c r="B134" s="488">
        <v>51033.0</v>
      </c>
      <c r="C134" s="488">
        <v>48084.0</v>
      </c>
      <c r="D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A135" s="487">
        <v>18.0</v>
      </c>
      <c r="B135" s="488">
        <v>49676.0</v>
      </c>
      <c r="C135" s="488">
        <v>47161.0</v>
      </c>
      <c r="D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A136" s="487">
        <v>19.0</v>
      </c>
      <c r="B136" s="488">
        <v>49803.0</v>
      </c>
      <c r="C136" s="488">
        <v>47092.0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A137" s="487">
        <v>20.0</v>
      </c>
      <c r="B137" s="488">
        <v>49004.0</v>
      </c>
      <c r="C137" s="488">
        <v>46467.0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A138" s="487">
        <v>21.0</v>
      </c>
      <c r="B138" s="488">
        <v>49521.0</v>
      </c>
      <c r="C138" s="488">
        <v>46130.0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A139" s="487">
        <v>22.0</v>
      </c>
      <c r="B139" s="488">
        <v>48058.0</v>
      </c>
      <c r="C139" s="488">
        <v>45576.0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A140" s="487">
        <v>23.0</v>
      </c>
      <c r="B140" s="488">
        <v>49245.0</v>
      </c>
      <c r="C140" s="488">
        <v>46339.0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A141" s="487">
        <v>24.0</v>
      </c>
      <c r="B141" s="488">
        <v>49713.0</v>
      </c>
      <c r="C141" s="488">
        <v>46953.0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A142" s="487">
        <v>25.0</v>
      </c>
      <c r="B142" s="488">
        <v>50153.0</v>
      </c>
      <c r="C142" s="488">
        <v>47196.0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A143" s="487">
        <v>26.0</v>
      </c>
      <c r="B143" s="488">
        <v>53639.0</v>
      </c>
      <c r="C143" s="488">
        <v>50011.0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A144" s="487">
        <v>27.0</v>
      </c>
      <c r="B144" s="488">
        <v>59159.0</v>
      </c>
      <c r="C144" s="488">
        <v>55383.0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A145" s="487">
        <v>28.0</v>
      </c>
      <c r="B145" s="488">
        <v>66264.0</v>
      </c>
      <c r="C145" s="488">
        <v>61747.0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A146" s="487">
        <v>29.0</v>
      </c>
      <c r="B146" s="488">
        <v>67033.0</v>
      </c>
      <c r="C146" s="488">
        <v>62008.0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A147" s="487">
        <v>30.0</v>
      </c>
      <c r="B147" s="488">
        <v>70854.0</v>
      </c>
      <c r="C147" s="488">
        <v>65450.0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A148" s="487">
        <v>31.0</v>
      </c>
      <c r="B148" s="488">
        <v>70971.0</v>
      </c>
      <c r="C148" s="488">
        <v>66148.0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A149" s="487">
        <v>32.0</v>
      </c>
      <c r="B149" s="488">
        <v>69828.0</v>
      </c>
      <c r="C149" s="488">
        <v>65321.0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A150" s="487">
        <v>33.0</v>
      </c>
      <c r="B150" s="488">
        <v>71831.0</v>
      </c>
      <c r="C150" s="488">
        <v>67703.0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A151" s="487">
        <v>34.0</v>
      </c>
      <c r="B151" s="488">
        <v>71611.0</v>
      </c>
      <c r="C151" s="488">
        <v>66296.0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A152" s="487">
        <v>35.0</v>
      </c>
      <c r="B152" s="488">
        <v>72421.0</v>
      </c>
      <c r="C152" s="488">
        <v>67347.0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A153" s="487">
        <v>36.0</v>
      </c>
      <c r="B153" s="488">
        <v>73725.0</v>
      </c>
      <c r="C153" s="488">
        <v>68602.0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A154" s="487">
        <v>37.0</v>
      </c>
      <c r="B154" s="488">
        <v>73977.0</v>
      </c>
      <c r="C154" s="488">
        <v>68853.0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A155" s="487">
        <v>38.0</v>
      </c>
      <c r="B155" s="488">
        <v>74040.0</v>
      </c>
      <c r="C155" s="488">
        <v>69136.0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A156" s="487">
        <v>39.0</v>
      </c>
      <c r="B156" s="488">
        <v>75231.0</v>
      </c>
      <c r="C156" s="488">
        <v>70668.0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A157" s="487">
        <v>40.0</v>
      </c>
      <c r="B157" s="488">
        <v>76031.0</v>
      </c>
      <c r="C157" s="488">
        <v>70977.0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A158" s="487">
        <v>41.0</v>
      </c>
      <c r="B158" s="488">
        <v>80747.0</v>
      </c>
      <c r="C158" s="488">
        <v>74713.0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A159" s="487">
        <v>42.0</v>
      </c>
      <c r="B159" s="488">
        <v>88676.0</v>
      </c>
      <c r="C159" s="488">
        <v>82724.0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A160" s="487">
        <v>43.0</v>
      </c>
      <c r="B160" s="488">
        <v>91314.0</v>
      </c>
      <c r="C160" s="488">
        <v>85653.0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A161" s="487">
        <v>44.0</v>
      </c>
      <c r="B161" s="488">
        <v>92375.0</v>
      </c>
      <c r="C161" s="488">
        <v>87271.0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A162" s="487">
        <v>45.0</v>
      </c>
      <c r="B162" s="488">
        <v>94889.0</v>
      </c>
      <c r="C162" s="488">
        <v>89570.0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A163" s="487">
        <v>46.0</v>
      </c>
      <c r="B163" s="488">
        <v>96247.0</v>
      </c>
      <c r="C163" s="488">
        <v>91575.0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A164" s="487">
        <v>47.0</v>
      </c>
      <c r="B164" s="488">
        <v>97367.0</v>
      </c>
      <c r="C164" s="488">
        <v>92229.0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A165" s="487">
        <v>48.0</v>
      </c>
      <c r="B165" s="488">
        <v>91472.0</v>
      </c>
      <c r="C165" s="488">
        <v>85916.0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A166" s="487">
        <v>49.0</v>
      </c>
      <c r="B166" s="488">
        <v>82126.0</v>
      </c>
      <c r="C166" s="488">
        <v>78206.0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A167" s="487">
        <v>50.0</v>
      </c>
      <c r="B167" s="488">
        <v>77389.0</v>
      </c>
      <c r="C167" s="488">
        <v>73850.0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A168" s="487">
        <v>51.0</v>
      </c>
      <c r="B168" s="488">
        <v>73914.0</v>
      </c>
      <c r="C168" s="488">
        <v>70981.0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A169" s="487">
        <v>52.0</v>
      </c>
      <c r="B169" s="488">
        <v>70902.0</v>
      </c>
      <c r="C169" s="488">
        <v>68063.0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A170" s="487">
        <v>53.0</v>
      </c>
      <c r="B170" s="488">
        <v>66976.0</v>
      </c>
      <c r="C170" s="488">
        <v>64814.0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A171" s="487">
        <v>54.0</v>
      </c>
      <c r="B171" s="488">
        <v>66927.0</v>
      </c>
      <c r="C171" s="488">
        <v>64870.0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A172" s="487">
        <v>55.0</v>
      </c>
      <c r="B172" s="488">
        <v>67225.0</v>
      </c>
      <c r="C172" s="488">
        <v>65656.0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A173" s="487">
        <v>56.0</v>
      </c>
      <c r="B173" s="488">
        <v>69397.0</v>
      </c>
      <c r="C173" s="488">
        <v>68035.0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A174" s="487">
        <v>57.0</v>
      </c>
      <c r="B174" s="488">
        <v>72097.0</v>
      </c>
      <c r="C174" s="488">
        <v>70790.0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A175" s="487">
        <v>58.0</v>
      </c>
      <c r="B175" s="488">
        <v>68689.0</v>
      </c>
      <c r="C175" s="488">
        <v>68591.0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A176" s="487">
        <v>59.0</v>
      </c>
      <c r="B176" s="488">
        <v>61025.0</v>
      </c>
      <c r="C176" s="488">
        <v>61518.0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A177" s="487">
        <v>60.0</v>
      </c>
      <c r="B177" s="488">
        <v>58868.0</v>
      </c>
      <c r="C177" s="488">
        <v>60049.0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A178" s="487">
        <v>61.0</v>
      </c>
      <c r="B178" s="488">
        <v>57308.0</v>
      </c>
      <c r="C178" s="488">
        <v>58271.0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A179" s="487">
        <v>62.0</v>
      </c>
      <c r="B179" s="488">
        <v>55839.0</v>
      </c>
      <c r="C179" s="488">
        <v>57841.0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A180" s="487">
        <v>63.0</v>
      </c>
      <c r="B180" s="488">
        <v>59015.0</v>
      </c>
      <c r="C180" s="488">
        <v>62837.0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A181" s="487">
        <v>64.0</v>
      </c>
      <c r="B181" s="488">
        <v>62258.0</v>
      </c>
      <c r="C181" s="488">
        <v>67200.0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customHeight="1">
      <c r="A182" s="487">
        <v>65.0</v>
      </c>
      <c r="B182" s="488">
        <v>63267.0</v>
      </c>
      <c r="C182" s="488">
        <v>69565.0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customHeight="1">
      <c r="A183" s="487">
        <v>66.0</v>
      </c>
      <c r="B183" s="488">
        <v>62604.0</v>
      </c>
      <c r="C183" s="488">
        <v>69972.0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customHeight="1">
      <c r="A184" s="487">
        <v>67.0</v>
      </c>
      <c r="B184" s="488">
        <v>61477.0</v>
      </c>
      <c r="C184" s="488">
        <v>70348.0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customHeight="1">
      <c r="A185" s="487">
        <v>68.0</v>
      </c>
      <c r="B185" s="488">
        <v>60849.0</v>
      </c>
      <c r="C185" s="488">
        <v>70259.0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customHeight="1">
      <c r="A186" s="487">
        <v>69.0</v>
      </c>
      <c r="B186" s="488">
        <v>60132.0</v>
      </c>
      <c r="C186" s="488">
        <v>71223.0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customHeight="1">
      <c r="A187" s="487">
        <v>70.0</v>
      </c>
      <c r="B187" s="488">
        <v>58328.0</v>
      </c>
      <c r="C187" s="488">
        <v>71436.0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customHeight="1">
      <c r="A188" s="487">
        <v>71.0</v>
      </c>
      <c r="B188" s="488">
        <v>55784.0</v>
      </c>
      <c r="C188" s="488">
        <v>69120.0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customHeight="1">
      <c r="A189" s="487">
        <v>72.0</v>
      </c>
      <c r="B189" s="488">
        <v>52536.0</v>
      </c>
      <c r="C189" s="488">
        <v>66654.0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customHeight="1">
      <c r="A190" s="487">
        <v>73.0</v>
      </c>
      <c r="B190" s="488">
        <v>52637.0</v>
      </c>
      <c r="C190" s="488">
        <v>67370.0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customHeight="1">
      <c r="A191" s="487">
        <v>74.0</v>
      </c>
      <c r="B191" s="488">
        <v>52180.0</v>
      </c>
      <c r="C191" s="488">
        <v>69132.0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customHeight="1">
      <c r="A192" s="487">
        <v>75.0</v>
      </c>
      <c r="B192" s="488">
        <v>47678.0</v>
      </c>
      <c r="C192" s="488">
        <v>65509.0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customHeight="1">
      <c r="A193" s="487">
        <v>76.0</v>
      </c>
      <c r="B193" s="488">
        <v>35923.0</v>
      </c>
      <c r="C193" s="488">
        <v>52200.0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customHeight="1">
      <c r="A194" s="487">
        <v>77.0</v>
      </c>
      <c r="B194" s="488">
        <v>36036.0</v>
      </c>
      <c r="C194" s="488">
        <v>52840.0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customHeight="1">
      <c r="A195" s="487">
        <v>78.0</v>
      </c>
      <c r="B195" s="488">
        <v>33064.0</v>
      </c>
      <c r="C195" s="488">
        <v>49645.0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customHeight="1">
      <c r="A196" s="487">
        <v>79.0</v>
      </c>
      <c r="B196" s="488">
        <v>27615.0</v>
      </c>
      <c r="C196" s="488">
        <v>42583.0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customHeight="1">
      <c r="A197" s="487">
        <v>80.0</v>
      </c>
      <c r="B197" s="488">
        <v>24511.0</v>
      </c>
      <c r="C197" s="488">
        <v>39290.0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customHeight="1">
      <c r="A198" s="487">
        <v>81.0</v>
      </c>
      <c r="B198" s="488">
        <v>22480.0</v>
      </c>
      <c r="C198" s="488">
        <v>36605.0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customHeight="1">
      <c r="A199" s="487">
        <v>82.0</v>
      </c>
      <c r="B199" s="488">
        <v>17874.0</v>
      </c>
      <c r="C199" s="488">
        <v>31000.0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customHeight="1">
      <c r="A200" s="487">
        <v>83.0</v>
      </c>
      <c r="B200" s="488">
        <v>15436.0</v>
      </c>
      <c r="C200" s="488">
        <v>27938.0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customHeight="1">
      <c r="A201" s="487">
        <v>84.0</v>
      </c>
      <c r="B201" s="488">
        <v>12926.0</v>
      </c>
      <c r="C201" s="488">
        <v>24608.0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A202" s="487">
        <v>85.0</v>
      </c>
      <c r="B202" s="488">
        <v>11310.0</v>
      </c>
      <c r="C202" s="488">
        <v>22359.0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customHeight="1">
      <c r="A203" s="487">
        <v>86.0</v>
      </c>
      <c r="B203" s="488">
        <v>9897.0</v>
      </c>
      <c r="C203" s="488">
        <v>20125.0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customHeight="1">
      <c r="A204" s="487">
        <v>87.0</v>
      </c>
      <c r="B204" s="488">
        <v>8417.0</v>
      </c>
      <c r="C204" s="488">
        <v>18233.0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customHeight="1">
      <c r="A205" s="487">
        <v>88.0</v>
      </c>
      <c r="B205" s="488">
        <v>7200.0</v>
      </c>
      <c r="C205" s="488">
        <v>16189.0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customHeight="1">
      <c r="A206" s="487">
        <v>89.0</v>
      </c>
      <c r="B206" s="488">
        <v>6043.0</v>
      </c>
      <c r="C206" s="488">
        <v>14402.0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customHeight="1">
      <c r="A207" s="487">
        <v>90.0</v>
      </c>
      <c r="B207" s="488">
        <v>4886.0</v>
      </c>
      <c r="C207" s="488">
        <v>11980.0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customHeight="1">
      <c r="A208" s="487">
        <v>91.0</v>
      </c>
      <c r="B208" s="488">
        <v>3815.0</v>
      </c>
      <c r="C208" s="488">
        <v>9961.0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customHeight="1">
      <c r="A209" s="487">
        <v>92.0</v>
      </c>
      <c r="B209" s="488">
        <v>2639.0</v>
      </c>
      <c r="C209" s="488">
        <v>7417.0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customHeight="1">
      <c r="A210" s="487">
        <v>93.0</v>
      </c>
      <c r="B210" s="488">
        <v>1903.0</v>
      </c>
      <c r="C210" s="488">
        <v>5669.0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customHeight="1">
      <c r="A211" s="487">
        <v>94.0</v>
      </c>
      <c r="B211" s="488">
        <v>1261.0</v>
      </c>
      <c r="C211" s="488">
        <v>4060.0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customHeight="1">
      <c r="A212" s="487">
        <v>95.0</v>
      </c>
      <c r="B212" s="488">
        <v>861.0</v>
      </c>
      <c r="C212" s="488">
        <v>2970.0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customHeight="1">
      <c r="A213" s="487">
        <v>96.0</v>
      </c>
      <c r="B213" s="488">
        <v>512.0</v>
      </c>
      <c r="C213" s="488">
        <v>2029.0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customHeight="1">
      <c r="A214" s="487">
        <v>97.0</v>
      </c>
      <c r="B214" s="488">
        <v>312.0</v>
      </c>
      <c r="C214" s="488">
        <v>1435.0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customHeight="1">
      <c r="A215" s="487">
        <v>98.0</v>
      </c>
      <c r="B215" s="488">
        <v>189.0</v>
      </c>
      <c r="C215" s="488">
        <v>975.0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customHeight="1">
      <c r="A216" s="487">
        <v>99.0</v>
      </c>
      <c r="B216" s="488">
        <v>95.0</v>
      </c>
      <c r="C216" s="488">
        <v>575.0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customHeight="1">
      <c r="A217" s="487" t="s">
        <v>588</v>
      </c>
      <c r="B217" s="488">
        <v>104.0</v>
      </c>
      <c r="C217" s="488">
        <v>652.0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customHeight="1">
      <c r="A218" s="487" t="s">
        <v>589</v>
      </c>
      <c r="B218" s="489">
        <v>41.31973060173329</v>
      </c>
      <c r="C218" s="489">
        <v>44.20489254316387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customHeight="1">
      <c r="A219" s="487" t="s">
        <v>590</v>
      </c>
      <c r="B219" s="488">
        <f t="shared" ref="B219:C219" si="72">SUM(B117:B217)</f>
        <v>5183775</v>
      </c>
      <c r="C219" s="488">
        <f t="shared" si="72"/>
        <v>5332932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customHeight="1">
      <c r="A220" s="14" t="s">
        <v>591</v>
      </c>
      <c r="B220" s="24">
        <f t="shared" ref="B220:C220" si="73">SUM(B135:B217)</f>
        <v>4157611</v>
      </c>
      <c r="C220" s="24">
        <f t="shared" si="73"/>
        <v>4356115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6">
    <mergeCell ref="A1:E1"/>
    <mergeCell ref="A18:E18"/>
    <mergeCell ref="A30:E30"/>
    <mergeCell ref="B31:D31"/>
    <mergeCell ref="B74:C74"/>
    <mergeCell ref="D74:E74"/>
  </mergeCells>
  <printOptions/>
  <pageMargins bottom="0.787401575" footer="0.0" header="0.0" left="0.7" right="0.7" top="0.787401575"/>
  <pageSetup paperSize="9" orientation="portrait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8" width="11.25"/>
    <col customWidth="1" min="9" max="9" width="11.75"/>
    <col customWidth="1" min="10" max="51" width="11.25"/>
  </cols>
  <sheetData>
    <row r="1" ht="15.75" customHeight="1">
      <c r="A1" s="394" t="s">
        <v>592</v>
      </c>
      <c r="B1" s="394"/>
      <c r="C1" s="394"/>
    </row>
    <row r="2" ht="15.75" customHeight="1">
      <c r="A2" s="394"/>
      <c r="B2" s="394"/>
      <c r="C2" s="394"/>
    </row>
    <row r="3" ht="15.75" customHeight="1">
      <c r="A3" s="262" t="s">
        <v>468</v>
      </c>
      <c r="B3" s="262" t="s">
        <v>288</v>
      </c>
      <c r="C3" s="262" t="s">
        <v>405</v>
      </c>
      <c r="D3" s="262" t="s">
        <v>469</v>
      </c>
      <c r="E3" s="262" t="s">
        <v>294</v>
      </c>
      <c r="F3" s="262" t="s">
        <v>296</v>
      </c>
      <c r="G3" s="262" t="s">
        <v>298</v>
      </c>
      <c r="H3" s="262" t="s">
        <v>300</v>
      </c>
      <c r="I3" s="262" t="s">
        <v>89</v>
      </c>
      <c r="J3" s="262" t="s">
        <v>303</v>
      </c>
      <c r="K3" s="262" t="s">
        <v>470</v>
      </c>
      <c r="L3" s="262" t="s">
        <v>307</v>
      </c>
      <c r="M3" s="262" t="s">
        <v>406</v>
      </c>
      <c r="N3" s="262" t="s">
        <v>311</v>
      </c>
      <c r="O3" s="262" t="s">
        <v>313</v>
      </c>
      <c r="P3" s="262" t="s">
        <v>315</v>
      </c>
      <c r="Q3" s="262" t="s">
        <v>407</v>
      </c>
      <c r="R3" s="262" t="s">
        <v>319</v>
      </c>
      <c r="S3" s="262" t="s">
        <v>321</v>
      </c>
      <c r="T3" s="262" t="s">
        <v>323</v>
      </c>
      <c r="U3" s="262" t="s">
        <v>408</v>
      </c>
      <c r="W3" s="490" t="str">
        <f>HYPERLINK("https://www.czso.cz/csu/czso/umrtnostni_tabulky","Naděje na dožití, ČSÚ 2018")</f>
        <v>Naděje na dožití, ČSÚ 2018</v>
      </c>
      <c r="X3" s="90"/>
      <c r="Y3" s="10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  <c r="AL3" s="491"/>
      <c r="AM3" s="491"/>
      <c r="AN3" s="491"/>
      <c r="AO3" s="491"/>
      <c r="AP3" s="491"/>
      <c r="AQ3" s="491"/>
      <c r="AR3" s="491"/>
      <c r="AS3" s="491"/>
    </row>
    <row r="4" ht="15.75" customHeight="1">
      <c r="A4" s="381" t="s">
        <v>447</v>
      </c>
      <c r="B4" s="492">
        <v>0.0</v>
      </c>
      <c r="C4" s="493">
        <v>0.0</v>
      </c>
      <c r="D4" s="493">
        <v>0.0</v>
      </c>
      <c r="E4" s="493">
        <v>0.0</v>
      </c>
      <c r="F4" s="493">
        <v>0.0</v>
      </c>
      <c r="G4" s="493">
        <v>0.0</v>
      </c>
      <c r="H4" s="493">
        <v>0.0</v>
      </c>
      <c r="I4" s="493">
        <v>0.0</v>
      </c>
      <c r="J4" s="493">
        <v>0.0</v>
      </c>
      <c r="K4" s="493">
        <v>0.0</v>
      </c>
      <c r="L4" s="493">
        <v>0.0</v>
      </c>
      <c r="M4" s="493">
        <v>0.0</v>
      </c>
      <c r="N4" s="493">
        <v>0.0</v>
      </c>
      <c r="O4" s="493">
        <v>0.0</v>
      </c>
      <c r="P4" s="493">
        <v>0.0</v>
      </c>
      <c r="Q4" s="493">
        <v>0.0</v>
      </c>
      <c r="R4" s="493">
        <v>0.0</v>
      </c>
      <c r="S4" s="493">
        <v>0.0</v>
      </c>
      <c r="T4" s="492">
        <v>3.0</v>
      </c>
      <c r="U4" s="493">
        <v>0.0</v>
      </c>
      <c r="V4" s="380"/>
      <c r="W4" s="494" t="s">
        <v>468</v>
      </c>
      <c r="X4" s="358" t="s">
        <v>409</v>
      </c>
      <c r="Y4" s="495" t="s">
        <v>410</v>
      </c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</row>
    <row r="5" ht="15.75" customHeight="1">
      <c r="A5" s="381" t="s">
        <v>448</v>
      </c>
      <c r="B5" s="492">
        <v>0.0</v>
      </c>
      <c r="C5" s="493">
        <v>0.0</v>
      </c>
      <c r="D5" s="493">
        <v>0.0</v>
      </c>
      <c r="E5" s="493">
        <v>0.0</v>
      </c>
      <c r="F5" s="492">
        <v>3.0</v>
      </c>
      <c r="G5" s="492">
        <v>3.0</v>
      </c>
      <c r="H5" s="492">
        <v>3.0</v>
      </c>
      <c r="I5" s="493">
        <v>0.0</v>
      </c>
      <c r="J5" s="493">
        <v>0.0</v>
      </c>
      <c r="K5" s="493">
        <v>0.0</v>
      </c>
      <c r="L5" s="492">
        <v>3.0</v>
      </c>
      <c r="M5" s="493">
        <v>0.0</v>
      </c>
      <c r="N5" s="493">
        <v>0.0</v>
      </c>
      <c r="O5" s="493">
        <v>0.0</v>
      </c>
      <c r="P5" s="493">
        <v>0.0</v>
      </c>
      <c r="Q5" s="493">
        <v>0.0</v>
      </c>
      <c r="R5" s="493">
        <v>0.0</v>
      </c>
      <c r="S5" s="493">
        <v>0.0</v>
      </c>
      <c r="T5" s="492">
        <v>3.0</v>
      </c>
      <c r="U5" s="493">
        <v>0.0</v>
      </c>
      <c r="V5" s="380"/>
      <c r="W5" s="447">
        <v>0.0</v>
      </c>
      <c r="X5" s="145">
        <v>76.1</v>
      </c>
      <c r="Y5" s="427">
        <v>81.9</v>
      </c>
    </row>
    <row r="6" ht="15.75" customHeight="1">
      <c r="A6" s="381" t="s">
        <v>449</v>
      </c>
      <c r="B6" s="492">
        <v>3.0</v>
      </c>
      <c r="C6" s="493">
        <v>0.0</v>
      </c>
      <c r="D6" s="493">
        <v>0.0</v>
      </c>
      <c r="E6" s="493">
        <v>0.0</v>
      </c>
      <c r="F6" s="492">
        <v>3.0</v>
      </c>
      <c r="G6" s="493">
        <v>0.0</v>
      </c>
      <c r="H6" s="493">
        <v>0.0</v>
      </c>
      <c r="I6" s="493">
        <v>0.0</v>
      </c>
      <c r="J6" s="493">
        <v>0.0</v>
      </c>
      <c r="K6" s="493">
        <v>0.0</v>
      </c>
      <c r="L6" s="492">
        <v>3.0</v>
      </c>
      <c r="M6" s="493">
        <v>0.0</v>
      </c>
      <c r="N6" s="492">
        <v>3.0</v>
      </c>
      <c r="O6" s="492">
        <v>3.0</v>
      </c>
      <c r="P6" s="493">
        <v>0.0</v>
      </c>
      <c r="Q6" s="493">
        <v>0.0</v>
      </c>
      <c r="R6" s="492">
        <v>3.0</v>
      </c>
      <c r="S6" s="493">
        <v>0.0</v>
      </c>
      <c r="T6" s="492">
        <v>3.0</v>
      </c>
      <c r="U6" s="493">
        <v>0.0</v>
      </c>
      <c r="V6" s="380"/>
      <c r="W6" s="447">
        <v>5.0</v>
      </c>
      <c r="X6" s="145">
        <v>71.3</v>
      </c>
      <c r="Y6" s="427">
        <v>77.1</v>
      </c>
    </row>
    <row r="7" ht="15.75" customHeight="1">
      <c r="A7" s="381" t="s">
        <v>450</v>
      </c>
      <c r="B7" s="492">
        <v>0.0</v>
      </c>
      <c r="C7" s="493">
        <v>0.0</v>
      </c>
      <c r="D7" s="493">
        <v>0.0</v>
      </c>
      <c r="E7" s="492">
        <v>3.0</v>
      </c>
      <c r="F7" s="493">
        <v>0.0</v>
      </c>
      <c r="G7" s="492">
        <v>3.0</v>
      </c>
      <c r="H7" s="492">
        <v>3.0</v>
      </c>
      <c r="I7" s="493">
        <v>0.0</v>
      </c>
      <c r="J7" s="492">
        <v>3.0</v>
      </c>
      <c r="K7" s="493">
        <v>0.0</v>
      </c>
      <c r="L7" s="493">
        <v>0.0</v>
      </c>
      <c r="M7" s="493">
        <v>0.0</v>
      </c>
      <c r="N7" s="493">
        <v>0.0</v>
      </c>
      <c r="O7" s="493">
        <v>8.0</v>
      </c>
      <c r="P7" s="493">
        <v>0.0</v>
      </c>
      <c r="Q7" s="492">
        <v>3.0</v>
      </c>
      <c r="R7" s="492">
        <v>3.0</v>
      </c>
      <c r="S7" s="492">
        <v>3.0</v>
      </c>
      <c r="T7" s="492">
        <v>3.0</v>
      </c>
      <c r="U7" s="492">
        <v>3.0</v>
      </c>
      <c r="V7" s="380"/>
      <c r="W7" s="447">
        <v>10.0</v>
      </c>
      <c r="X7" s="145">
        <v>66.4</v>
      </c>
      <c r="Y7" s="427">
        <v>72.2</v>
      </c>
    </row>
    <row r="8" ht="15.75" customHeight="1">
      <c r="A8" s="381" t="s">
        <v>451</v>
      </c>
      <c r="B8" s="492">
        <v>3.0</v>
      </c>
      <c r="C8" s="493">
        <v>0.0</v>
      </c>
      <c r="D8" s="492">
        <v>3.0</v>
      </c>
      <c r="E8" s="493">
        <v>7.0</v>
      </c>
      <c r="F8" s="492">
        <v>3.0</v>
      </c>
      <c r="G8" s="492">
        <v>3.0</v>
      </c>
      <c r="H8" s="492">
        <v>3.0</v>
      </c>
      <c r="I8" s="492">
        <v>3.0</v>
      </c>
      <c r="J8" s="493">
        <v>0.0</v>
      </c>
      <c r="K8" s="493">
        <v>0.0</v>
      </c>
      <c r="L8" s="492">
        <v>3.0</v>
      </c>
      <c r="M8" s="493">
        <v>0.0</v>
      </c>
      <c r="N8" s="492">
        <v>3.0</v>
      </c>
      <c r="O8" s="493">
        <v>19.0</v>
      </c>
      <c r="P8" s="492">
        <v>3.0</v>
      </c>
      <c r="Q8" s="493">
        <v>6.0</v>
      </c>
      <c r="R8" s="492">
        <v>3.0</v>
      </c>
      <c r="S8" s="492">
        <v>3.0</v>
      </c>
      <c r="T8" s="493">
        <v>6.0</v>
      </c>
      <c r="U8" s="493">
        <v>0.0</v>
      </c>
      <c r="V8" s="380"/>
      <c r="W8" s="447">
        <v>15.0</v>
      </c>
      <c r="X8" s="145">
        <v>61.4</v>
      </c>
      <c r="Y8" s="427">
        <v>67.2</v>
      </c>
    </row>
    <row r="9" ht="15.75" customHeight="1">
      <c r="A9" s="381" t="s">
        <v>452</v>
      </c>
      <c r="B9" s="492">
        <v>0.0</v>
      </c>
      <c r="C9" s="493">
        <v>0.0</v>
      </c>
      <c r="D9" s="493">
        <v>0.0</v>
      </c>
      <c r="E9" s="493">
        <v>10.0</v>
      </c>
      <c r="F9" s="492">
        <v>3.0</v>
      </c>
      <c r="G9" s="493">
        <v>6.0</v>
      </c>
      <c r="H9" s="493">
        <v>6.0</v>
      </c>
      <c r="I9" s="492">
        <v>3.0</v>
      </c>
      <c r="J9" s="492">
        <v>3.0</v>
      </c>
      <c r="K9" s="493">
        <v>0.0</v>
      </c>
      <c r="L9" s="493">
        <v>5.0</v>
      </c>
      <c r="M9" s="492">
        <v>3.0</v>
      </c>
      <c r="N9" s="492">
        <v>3.0</v>
      </c>
      <c r="O9" s="493">
        <v>48.0</v>
      </c>
      <c r="P9" s="493">
        <v>7.0</v>
      </c>
      <c r="Q9" s="493">
        <v>8.0</v>
      </c>
      <c r="R9" s="493">
        <v>8.0</v>
      </c>
      <c r="S9" s="492">
        <v>3.0</v>
      </c>
      <c r="T9" s="493">
        <v>9.0</v>
      </c>
      <c r="U9" s="492">
        <v>3.0</v>
      </c>
      <c r="V9" s="380"/>
      <c r="W9" s="447">
        <v>20.0</v>
      </c>
      <c r="X9" s="145">
        <v>56.5</v>
      </c>
      <c r="Y9" s="427">
        <v>62.2</v>
      </c>
      <c r="AA9" s="47"/>
    </row>
    <row r="10" ht="15.75" customHeight="1">
      <c r="A10" s="381" t="s">
        <v>453</v>
      </c>
      <c r="B10" s="492">
        <v>0.0</v>
      </c>
      <c r="C10" s="493">
        <v>0.0</v>
      </c>
      <c r="D10" s="492">
        <v>3.0</v>
      </c>
      <c r="E10" s="493">
        <v>33.0</v>
      </c>
      <c r="F10" s="493">
        <v>7.0</v>
      </c>
      <c r="G10" s="492">
        <v>3.0</v>
      </c>
      <c r="H10" s="492">
        <v>3.0</v>
      </c>
      <c r="I10" s="492">
        <v>3.0</v>
      </c>
      <c r="J10" s="492">
        <v>3.0</v>
      </c>
      <c r="K10" s="493">
        <v>0.0</v>
      </c>
      <c r="L10" s="493">
        <v>7.0</v>
      </c>
      <c r="M10" s="492">
        <v>3.0</v>
      </c>
      <c r="N10" s="492">
        <v>3.0</v>
      </c>
      <c r="O10" s="493">
        <v>62.0</v>
      </c>
      <c r="P10" s="493">
        <v>11.0</v>
      </c>
      <c r="Q10" s="493">
        <v>14.0</v>
      </c>
      <c r="R10" s="493">
        <v>13.0</v>
      </c>
      <c r="S10" s="492">
        <v>3.0</v>
      </c>
      <c r="T10" s="493">
        <v>5.0</v>
      </c>
      <c r="U10" s="492">
        <v>3.0</v>
      </c>
      <c r="V10" s="380"/>
      <c r="W10" s="447">
        <v>25.0</v>
      </c>
      <c r="X10" s="145">
        <v>51.7</v>
      </c>
      <c r="Y10" s="427">
        <v>57.3</v>
      </c>
    </row>
    <row r="11" ht="15.75" customHeight="1">
      <c r="A11" s="381" t="s">
        <v>454</v>
      </c>
      <c r="B11" s="492">
        <v>3.0</v>
      </c>
      <c r="C11" s="493">
        <v>0.0</v>
      </c>
      <c r="D11" s="493">
        <v>8.0</v>
      </c>
      <c r="E11" s="493">
        <v>52.0</v>
      </c>
      <c r="F11" s="493">
        <v>10.0</v>
      </c>
      <c r="G11" s="492">
        <v>3.0</v>
      </c>
      <c r="H11" s="492">
        <v>3.0</v>
      </c>
      <c r="I11" s="492">
        <v>3.0</v>
      </c>
      <c r="J11" s="492">
        <v>3.0</v>
      </c>
      <c r="K11" s="493">
        <v>0.0</v>
      </c>
      <c r="L11" s="493">
        <v>9.0</v>
      </c>
      <c r="M11" s="493">
        <v>6.0</v>
      </c>
      <c r="N11" s="493">
        <v>7.0</v>
      </c>
      <c r="O11" s="493">
        <v>70.0</v>
      </c>
      <c r="P11" s="493">
        <v>21.0</v>
      </c>
      <c r="Q11" s="493">
        <v>18.0</v>
      </c>
      <c r="R11" s="493">
        <v>33.0</v>
      </c>
      <c r="S11" s="493">
        <v>6.0</v>
      </c>
      <c r="T11" s="493">
        <v>21.0</v>
      </c>
      <c r="U11" s="492">
        <v>3.0</v>
      </c>
      <c r="V11" s="380"/>
      <c r="W11" s="447">
        <v>30.0</v>
      </c>
      <c r="X11" s="145">
        <v>46.9</v>
      </c>
      <c r="Y11" s="427">
        <v>52.4</v>
      </c>
    </row>
    <row r="12" ht="15.75" customHeight="1">
      <c r="A12" s="381" t="s">
        <v>455</v>
      </c>
      <c r="B12" s="492">
        <v>3.0</v>
      </c>
      <c r="C12" s="493">
        <v>0.0</v>
      </c>
      <c r="D12" s="493">
        <v>13.0</v>
      </c>
      <c r="E12" s="493">
        <v>83.0</v>
      </c>
      <c r="F12" s="493">
        <v>14.0</v>
      </c>
      <c r="G12" s="493">
        <v>9.0</v>
      </c>
      <c r="H12" s="493">
        <v>9.0</v>
      </c>
      <c r="I12" s="492">
        <v>3.0</v>
      </c>
      <c r="J12" s="492">
        <v>3.0</v>
      </c>
      <c r="K12" s="493">
        <v>0.0</v>
      </c>
      <c r="L12" s="493">
        <v>9.0</v>
      </c>
      <c r="M12" s="493">
        <v>9.0</v>
      </c>
      <c r="N12" s="493">
        <v>18.0</v>
      </c>
      <c r="O12" s="493">
        <v>92.0</v>
      </c>
      <c r="P12" s="493">
        <v>55.0</v>
      </c>
      <c r="Q12" s="493">
        <v>33.0</v>
      </c>
      <c r="R12" s="493">
        <v>46.0</v>
      </c>
      <c r="S12" s="493">
        <v>18.0</v>
      </c>
      <c r="T12" s="493">
        <v>32.0</v>
      </c>
      <c r="U12" s="493">
        <v>21.0</v>
      </c>
      <c r="V12" s="380"/>
      <c r="W12" s="447">
        <v>35.0</v>
      </c>
      <c r="X12" s="145">
        <v>42.1</v>
      </c>
      <c r="Y12" s="427">
        <v>47.5</v>
      </c>
      <c r="AA12" s="163"/>
    </row>
    <row r="13" ht="15.75" customHeight="1">
      <c r="A13" s="381" t="s">
        <v>456</v>
      </c>
      <c r="B13" s="492">
        <v>3.0</v>
      </c>
      <c r="C13" s="493">
        <v>0.0</v>
      </c>
      <c r="D13" s="493">
        <v>51.0</v>
      </c>
      <c r="E13" s="493">
        <v>222.0</v>
      </c>
      <c r="F13" s="493">
        <v>32.0</v>
      </c>
      <c r="G13" s="493">
        <v>17.0</v>
      </c>
      <c r="H13" s="493">
        <v>17.0</v>
      </c>
      <c r="I13" s="493">
        <v>7.0</v>
      </c>
      <c r="J13" s="492">
        <v>3.0</v>
      </c>
      <c r="K13" s="493">
        <v>0.0</v>
      </c>
      <c r="L13" s="493">
        <v>11.0</v>
      </c>
      <c r="M13" s="493">
        <v>24.0</v>
      </c>
      <c r="N13" s="493">
        <v>26.0</v>
      </c>
      <c r="O13" s="493">
        <v>175.0</v>
      </c>
      <c r="P13" s="493">
        <v>103.0</v>
      </c>
      <c r="Q13" s="493">
        <v>52.0</v>
      </c>
      <c r="R13" s="493">
        <v>92.0</v>
      </c>
      <c r="S13" s="493">
        <v>39.0</v>
      </c>
      <c r="T13" s="493">
        <v>72.0</v>
      </c>
      <c r="U13" s="493">
        <v>45.0</v>
      </c>
      <c r="V13" s="380"/>
      <c r="W13" s="447">
        <v>40.0</v>
      </c>
      <c r="X13" s="145">
        <v>37.4</v>
      </c>
      <c r="Y13" s="427">
        <v>42.6</v>
      </c>
    </row>
    <row r="14" ht="15.75" customHeight="1">
      <c r="A14" s="381" t="s">
        <v>457</v>
      </c>
      <c r="B14" s="492">
        <v>7.0</v>
      </c>
      <c r="C14" s="493">
        <v>0.0</v>
      </c>
      <c r="D14" s="493">
        <v>117.0</v>
      </c>
      <c r="E14" s="493">
        <v>487.0</v>
      </c>
      <c r="F14" s="493">
        <v>43.0</v>
      </c>
      <c r="G14" s="493">
        <v>28.0</v>
      </c>
      <c r="H14" s="493">
        <v>28.0</v>
      </c>
      <c r="I14" s="493">
        <v>8.0</v>
      </c>
      <c r="J14" s="493">
        <v>10.0</v>
      </c>
      <c r="K14" s="493">
        <v>0.0</v>
      </c>
      <c r="L14" s="493">
        <v>51.0</v>
      </c>
      <c r="M14" s="493">
        <v>38.0</v>
      </c>
      <c r="N14" s="493">
        <v>51.0</v>
      </c>
      <c r="O14" s="493">
        <v>178.0</v>
      </c>
      <c r="P14" s="493">
        <v>164.0</v>
      </c>
      <c r="Q14" s="493">
        <v>104.0</v>
      </c>
      <c r="R14" s="493">
        <v>110.0</v>
      </c>
      <c r="S14" s="493">
        <v>61.0</v>
      </c>
      <c r="T14" s="493">
        <v>147.0</v>
      </c>
      <c r="U14" s="493">
        <v>78.0</v>
      </c>
      <c r="V14" s="380"/>
      <c r="W14" s="447">
        <v>45.0</v>
      </c>
      <c r="X14" s="145">
        <v>32.7</v>
      </c>
      <c r="Y14" s="427">
        <v>37.8</v>
      </c>
    </row>
    <row r="15" ht="15.75" customHeight="1">
      <c r="A15" s="381" t="s">
        <v>458</v>
      </c>
      <c r="B15" s="492">
        <v>12.0</v>
      </c>
      <c r="C15" s="493">
        <v>0.0</v>
      </c>
      <c r="D15" s="493">
        <v>225.0</v>
      </c>
      <c r="E15" s="493">
        <v>824.0</v>
      </c>
      <c r="F15" s="493">
        <v>75.0</v>
      </c>
      <c r="G15" s="493">
        <v>23.0</v>
      </c>
      <c r="H15" s="493">
        <v>23.0</v>
      </c>
      <c r="I15" s="493">
        <v>14.0</v>
      </c>
      <c r="J15" s="493">
        <v>17.0</v>
      </c>
      <c r="K15" s="493">
        <v>0.0</v>
      </c>
      <c r="L15" s="493">
        <v>56.0</v>
      </c>
      <c r="M15" s="493">
        <v>45.0</v>
      </c>
      <c r="N15" s="493">
        <v>70.0</v>
      </c>
      <c r="O15" s="493">
        <v>248.0</v>
      </c>
      <c r="P15" s="493">
        <v>217.0</v>
      </c>
      <c r="Q15" s="493">
        <v>147.0</v>
      </c>
      <c r="R15" s="493">
        <v>118.0</v>
      </c>
      <c r="S15" s="493">
        <v>61.0</v>
      </c>
      <c r="T15" s="493">
        <v>241.0</v>
      </c>
      <c r="U15" s="493">
        <v>167.0</v>
      </c>
      <c r="V15" s="380"/>
      <c r="W15" s="447">
        <v>50.0</v>
      </c>
      <c r="X15" s="145">
        <v>28.2</v>
      </c>
      <c r="Y15" s="427">
        <v>33.0</v>
      </c>
    </row>
    <row r="16" ht="15.75" customHeight="1">
      <c r="A16" s="381" t="s">
        <v>593</v>
      </c>
      <c r="B16" s="492">
        <v>17.0</v>
      </c>
      <c r="C16" s="493">
        <v>0.0</v>
      </c>
      <c r="D16" s="493">
        <v>279.0</v>
      </c>
      <c r="E16" s="493">
        <v>1210.0</v>
      </c>
      <c r="F16" s="493">
        <v>78.0</v>
      </c>
      <c r="G16" s="493">
        <v>20.0</v>
      </c>
      <c r="H16" s="493">
        <v>20.0</v>
      </c>
      <c r="I16" s="493">
        <v>6.0</v>
      </c>
      <c r="J16" s="493">
        <v>9.0</v>
      </c>
      <c r="K16" s="493">
        <v>0.0</v>
      </c>
      <c r="L16" s="493">
        <v>68.0</v>
      </c>
      <c r="M16" s="493">
        <v>37.0</v>
      </c>
      <c r="N16" s="493">
        <v>66.0</v>
      </c>
      <c r="O16" s="493">
        <v>241.0</v>
      </c>
      <c r="P16" s="493">
        <v>201.0</v>
      </c>
      <c r="Q16" s="493">
        <v>129.0</v>
      </c>
      <c r="R16" s="493">
        <v>90.0</v>
      </c>
      <c r="S16" s="493">
        <v>81.0</v>
      </c>
      <c r="T16" s="493">
        <v>335.0</v>
      </c>
      <c r="U16" s="493">
        <v>237.0</v>
      </c>
      <c r="V16" s="380"/>
      <c r="W16" s="447">
        <v>55.0</v>
      </c>
      <c r="X16" s="145">
        <v>23.9</v>
      </c>
      <c r="Y16" s="427">
        <v>28.4</v>
      </c>
    </row>
    <row r="17" ht="15.75" customHeight="1">
      <c r="A17" s="381" t="s">
        <v>594</v>
      </c>
      <c r="B17" s="492">
        <v>17.0</v>
      </c>
      <c r="C17" s="493">
        <v>0.0</v>
      </c>
      <c r="D17" s="493">
        <v>405.0</v>
      </c>
      <c r="E17" s="493">
        <v>2025.0</v>
      </c>
      <c r="F17" s="493">
        <v>61.0</v>
      </c>
      <c r="G17" s="493">
        <v>17.0</v>
      </c>
      <c r="H17" s="493">
        <v>17.0</v>
      </c>
      <c r="I17" s="492">
        <v>3.0</v>
      </c>
      <c r="J17" s="493">
        <v>29.0</v>
      </c>
      <c r="K17" s="493">
        <v>0.0</v>
      </c>
      <c r="L17" s="493">
        <v>89.0</v>
      </c>
      <c r="M17" s="493">
        <v>32.0</v>
      </c>
      <c r="N17" s="493">
        <v>70.0</v>
      </c>
      <c r="O17" s="493">
        <v>175.0</v>
      </c>
      <c r="P17" s="493">
        <v>146.0</v>
      </c>
      <c r="Q17" s="493">
        <v>144.0</v>
      </c>
      <c r="R17" s="493">
        <v>57.0</v>
      </c>
      <c r="S17" s="493">
        <v>70.0</v>
      </c>
      <c r="T17" s="493">
        <v>506.0</v>
      </c>
      <c r="U17" s="493">
        <v>359.0</v>
      </c>
      <c r="V17" s="271"/>
      <c r="W17" s="447">
        <v>60.0</v>
      </c>
      <c r="X17" s="145">
        <v>19.8</v>
      </c>
      <c r="Y17" s="427">
        <v>23.9</v>
      </c>
    </row>
    <row r="18" ht="15.75" customHeight="1">
      <c r="A18" s="381" t="s">
        <v>595</v>
      </c>
      <c r="B18" s="492">
        <v>18.0</v>
      </c>
      <c r="C18" s="493">
        <v>0.0</v>
      </c>
      <c r="D18" s="493">
        <v>466.0</v>
      </c>
      <c r="E18" s="493">
        <v>3147.0</v>
      </c>
      <c r="F18" s="493">
        <v>68.0</v>
      </c>
      <c r="G18" s="493">
        <v>25.0</v>
      </c>
      <c r="H18" s="493">
        <v>25.0</v>
      </c>
      <c r="I18" s="492">
        <v>3.0</v>
      </c>
      <c r="J18" s="493">
        <v>35.0</v>
      </c>
      <c r="K18" s="492">
        <v>3.0</v>
      </c>
      <c r="L18" s="493">
        <v>113.0</v>
      </c>
      <c r="M18" s="493">
        <v>39.0</v>
      </c>
      <c r="N18" s="493">
        <v>62.0</v>
      </c>
      <c r="O18" s="493">
        <v>187.0</v>
      </c>
      <c r="P18" s="493">
        <v>113.0</v>
      </c>
      <c r="Q18" s="493">
        <v>134.0</v>
      </c>
      <c r="R18" s="493">
        <v>31.0</v>
      </c>
      <c r="S18" s="493">
        <v>56.0</v>
      </c>
      <c r="T18" s="493">
        <v>793.0</v>
      </c>
      <c r="U18" s="493">
        <v>628.0</v>
      </c>
      <c r="V18" s="380"/>
      <c r="W18" s="447">
        <v>65.0</v>
      </c>
      <c r="X18" s="145">
        <v>16.1</v>
      </c>
      <c r="Y18" s="427">
        <v>19.7</v>
      </c>
    </row>
    <row r="19" ht="15.75" customHeight="1">
      <c r="A19" s="381" t="s">
        <v>596</v>
      </c>
      <c r="B19" s="492">
        <v>7.0</v>
      </c>
      <c r="C19" s="493">
        <v>0.0</v>
      </c>
      <c r="D19" s="493">
        <v>305.0</v>
      </c>
      <c r="E19" s="493">
        <v>2527.0</v>
      </c>
      <c r="F19" s="493">
        <v>26.0</v>
      </c>
      <c r="G19" s="493">
        <v>12.0</v>
      </c>
      <c r="H19" s="493">
        <v>12.0</v>
      </c>
      <c r="I19" s="492">
        <v>3.0</v>
      </c>
      <c r="J19" s="493">
        <v>29.0</v>
      </c>
      <c r="K19" s="493">
        <v>0.0</v>
      </c>
      <c r="L19" s="493">
        <v>58.0</v>
      </c>
      <c r="M19" s="493">
        <v>11.0</v>
      </c>
      <c r="N19" s="493">
        <v>27.0</v>
      </c>
      <c r="O19" s="493">
        <v>93.0</v>
      </c>
      <c r="P19" s="493">
        <v>45.0</v>
      </c>
      <c r="Q19" s="493">
        <v>82.0</v>
      </c>
      <c r="R19" s="493">
        <v>24.0</v>
      </c>
      <c r="S19" s="493">
        <v>12.0</v>
      </c>
      <c r="T19" s="493">
        <v>608.0</v>
      </c>
      <c r="U19" s="493">
        <v>496.0</v>
      </c>
      <c r="V19" s="380"/>
      <c r="W19" s="447">
        <v>70.0</v>
      </c>
      <c r="X19" s="145">
        <v>12.9</v>
      </c>
      <c r="Y19" s="427">
        <v>15.7</v>
      </c>
    </row>
    <row r="20" ht="15.75" customHeight="1">
      <c r="A20" s="381" t="s">
        <v>597</v>
      </c>
      <c r="B20" s="492">
        <v>3.0</v>
      </c>
      <c r="C20" s="493">
        <v>0.0</v>
      </c>
      <c r="D20" s="493">
        <v>99.0</v>
      </c>
      <c r="E20" s="493">
        <v>972.0</v>
      </c>
      <c r="F20" s="492">
        <v>3.0</v>
      </c>
      <c r="G20" s="492">
        <v>3.0</v>
      </c>
      <c r="H20" s="492">
        <v>3.0</v>
      </c>
      <c r="I20" s="493">
        <v>0.0</v>
      </c>
      <c r="J20" s="493">
        <v>6.0</v>
      </c>
      <c r="K20" s="493">
        <v>0.0</v>
      </c>
      <c r="L20" s="493">
        <v>21.0</v>
      </c>
      <c r="M20" s="492">
        <v>3.0</v>
      </c>
      <c r="N20" s="492">
        <v>3.0</v>
      </c>
      <c r="O20" s="493">
        <v>22.0</v>
      </c>
      <c r="P20" s="493">
        <v>6.0</v>
      </c>
      <c r="Q20" s="493">
        <v>13.0</v>
      </c>
      <c r="R20" s="492">
        <v>3.0</v>
      </c>
      <c r="S20" s="492">
        <v>3.0</v>
      </c>
      <c r="T20" s="493">
        <v>236.0</v>
      </c>
      <c r="U20" s="493">
        <v>200.0</v>
      </c>
      <c r="V20" s="380"/>
      <c r="W20" s="447">
        <v>75.0</v>
      </c>
      <c r="X20" s="145">
        <v>10.0</v>
      </c>
      <c r="Y20" s="427">
        <v>12.0</v>
      </c>
    </row>
    <row r="21" ht="15.75" customHeight="1">
      <c r="A21" s="496" t="s">
        <v>68</v>
      </c>
      <c r="B21" s="496">
        <f t="shared" ref="B21:U21" si="1">SUM(B4:B20)</f>
        <v>96</v>
      </c>
      <c r="C21" s="496">
        <f t="shared" si="1"/>
        <v>0</v>
      </c>
      <c r="D21" s="496">
        <f t="shared" si="1"/>
        <v>1974</v>
      </c>
      <c r="E21" s="496">
        <f t="shared" si="1"/>
        <v>11602</v>
      </c>
      <c r="F21" s="496">
        <f t="shared" si="1"/>
        <v>429</v>
      </c>
      <c r="G21" s="496">
        <f t="shared" si="1"/>
        <v>175</v>
      </c>
      <c r="H21" s="496">
        <f t="shared" si="1"/>
        <v>175</v>
      </c>
      <c r="I21" s="496">
        <f t="shared" si="1"/>
        <v>59</v>
      </c>
      <c r="J21" s="496">
        <f t="shared" si="1"/>
        <v>153</v>
      </c>
      <c r="K21" s="496">
        <f t="shared" si="1"/>
        <v>3</v>
      </c>
      <c r="L21" s="496">
        <f t="shared" si="1"/>
        <v>506</v>
      </c>
      <c r="M21" s="496">
        <f t="shared" si="1"/>
        <v>250</v>
      </c>
      <c r="N21" s="496">
        <f t="shared" si="1"/>
        <v>412</v>
      </c>
      <c r="O21" s="496">
        <f t="shared" si="1"/>
        <v>1621</v>
      </c>
      <c r="P21" s="496">
        <f t="shared" si="1"/>
        <v>1092</v>
      </c>
      <c r="Q21" s="496">
        <f t="shared" si="1"/>
        <v>887</v>
      </c>
      <c r="R21" s="496">
        <f t="shared" si="1"/>
        <v>634</v>
      </c>
      <c r="S21" s="496">
        <f t="shared" si="1"/>
        <v>419</v>
      </c>
      <c r="T21" s="496">
        <f t="shared" si="1"/>
        <v>3023</v>
      </c>
      <c r="U21" s="496">
        <f t="shared" si="1"/>
        <v>2243</v>
      </c>
      <c r="V21" s="497"/>
      <c r="W21" s="447">
        <v>80.0</v>
      </c>
      <c r="X21" s="145">
        <v>7.4</v>
      </c>
      <c r="Y21" s="427">
        <v>8.6</v>
      </c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</row>
    <row r="22" ht="15.75" customHeight="1">
      <c r="W22" s="447">
        <v>85.0</v>
      </c>
      <c r="X22" s="145">
        <v>5.2</v>
      </c>
      <c r="Y22" s="427">
        <v>5.9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</row>
    <row r="23" ht="15.75" customHeight="1">
      <c r="A23" s="13" t="s">
        <v>598</v>
      </c>
      <c r="W23" s="447">
        <v>90.0</v>
      </c>
      <c r="X23" s="145">
        <v>0.0</v>
      </c>
      <c r="Y23" s="427">
        <v>0.0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</row>
    <row r="24" ht="15.75" customHeight="1">
      <c r="A24" s="13" t="s">
        <v>599</v>
      </c>
      <c r="W24" s="447">
        <v>95.0</v>
      </c>
      <c r="X24" s="14">
        <v>0.0</v>
      </c>
      <c r="Y24" s="427">
        <v>0.0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ht="15.75" customHeight="1">
      <c r="A25" s="262" t="s">
        <v>468</v>
      </c>
      <c r="B25" s="262" t="s">
        <v>288</v>
      </c>
      <c r="C25" s="262" t="s">
        <v>405</v>
      </c>
      <c r="D25" s="262" t="s">
        <v>469</v>
      </c>
      <c r="E25" s="262" t="s">
        <v>294</v>
      </c>
      <c r="F25" s="262" t="s">
        <v>296</v>
      </c>
      <c r="G25" s="262" t="s">
        <v>298</v>
      </c>
      <c r="H25" s="262" t="s">
        <v>300</v>
      </c>
      <c r="I25" s="262" t="s">
        <v>89</v>
      </c>
      <c r="J25" s="262" t="s">
        <v>303</v>
      </c>
      <c r="K25" s="262" t="s">
        <v>470</v>
      </c>
      <c r="L25" s="262" t="s">
        <v>307</v>
      </c>
      <c r="M25" s="262" t="s">
        <v>406</v>
      </c>
      <c r="N25" s="262" t="s">
        <v>311</v>
      </c>
      <c r="O25" s="262" t="s">
        <v>313</v>
      </c>
      <c r="P25" s="262" t="s">
        <v>315</v>
      </c>
      <c r="Q25" s="262" t="s">
        <v>407</v>
      </c>
      <c r="R25" s="262" t="s">
        <v>319</v>
      </c>
      <c r="S25" s="262" t="s">
        <v>321</v>
      </c>
      <c r="T25" s="262" t="s">
        <v>323</v>
      </c>
      <c r="U25" s="262" t="s">
        <v>408</v>
      </c>
      <c r="W25" s="494" t="s">
        <v>600</v>
      </c>
      <c r="X25" s="358">
        <v>0.0</v>
      </c>
      <c r="Y25" s="495">
        <v>0.0</v>
      </c>
    </row>
    <row r="26" ht="15.75" customHeight="1">
      <c r="A26" s="381" t="s">
        <v>447</v>
      </c>
      <c r="B26" s="145">
        <f>B4*$Y$8</f>
        <v>0</v>
      </c>
      <c r="C26" s="145">
        <f t="shared" ref="C26:U26" si="2">C4*$X$8</f>
        <v>0</v>
      </c>
      <c r="D26" s="145">
        <f t="shared" si="2"/>
        <v>0</v>
      </c>
      <c r="E26" s="145">
        <f t="shared" si="2"/>
        <v>0</v>
      </c>
      <c r="F26" s="145">
        <f t="shared" si="2"/>
        <v>0</v>
      </c>
      <c r="G26" s="145">
        <f t="shared" si="2"/>
        <v>0</v>
      </c>
      <c r="H26" s="145">
        <f t="shared" si="2"/>
        <v>0</v>
      </c>
      <c r="I26" s="145">
        <f t="shared" si="2"/>
        <v>0</v>
      </c>
      <c r="J26" s="145">
        <f t="shared" si="2"/>
        <v>0</v>
      </c>
      <c r="K26" s="145">
        <f t="shared" si="2"/>
        <v>0</v>
      </c>
      <c r="L26" s="145">
        <f t="shared" si="2"/>
        <v>0</v>
      </c>
      <c r="M26" s="145">
        <f t="shared" si="2"/>
        <v>0</v>
      </c>
      <c r="N26" s="145">
        <f t="shared" si="2"/>
        <v>0</v>
      </c>
      <c r="O26" s="145">
        <f t="shared" si="2"/>
        <v>0</v>
      </c>
      <c r="P26" s="145">
        <f t="shared" si="2"/>
        <v>0</v>
      </c>
      <c r="Q26" s="145">
        <f t="shared" si="2"/>
        <v>0</v>
      </c>
      <c r="R26" s="145">
        <f t="shared" si="2"/>
        <v>0</v>
      </c>
      <c r="S26" s="145">
        <f t="shared" si="2"/>
        <v>0</v>
      </c>
      <c r="T26" s="145">
        <f t="shared" si="2"/>
        <v>184.2</v>
      </c>
      <c r="U26" s="145">
        <f t="shared" si="2"/>
        <v>0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  <row r="27" ht="15.75" customHeight="1">
      <c r="A27" s="381" t="s">
        <v>448</v>
      </c>
      <c r="B27" s="145">
        <f t="shared" ref="B27:U27" si="3">B5*$Y$9</f>
        <v>0</v>
      </c>
      <c r="C27" s="145">
        <f t="shared" si="3"/>
        <v>0</v>
      </c>
      <c r="D27" s="145">
        <f t="shared" si="3"/>
        <v>0</v>
      </c>
      <c r="E27" s="145">
        <f t="shared" si="3"/>
        <v>0</v>
      </c>
      <c r="F27" s="145">
        <f t="shared" si="3"/>
        <v>186.6</v>
      </c>
      <c r="G27" s="145">
        <f t="shared" si="3"/>
        <v>186.6</v>
      </c>
      <c r="H27" s="145">
        <f t="shared" si="3"/>
        <v>186.6</v>
      </c>
      <c r="I27" s="145">
        <f t="shared" si="3"/>
        <v>0</v>
      </c>
      <c r="J27" s="145">
        <f t="shared" si="3"/>
        <v>0</v>
      </c>
      <c r="K27" s="145">
        <f t="shared" si="3"/>
        <v>0</v>
      </c>
      <c r="L27" s="145">
        <f t="shared" si="3"/>
        <v>186.6</v>
      </c>
      <c r="M27" s="145">
        <f t="shared" si="3"/>
        <v>0</v>
      </c>
      <c r="N27" s="145">
        <f t="shared" si="3"/>
        <v>0</v>
      </c>
      <c r="O27" s="145">
        <f t="shared" si="3"/>
        <v>0</v>
      </c>
      <c r="P27" s="145">
        <f t="shared" si="3"/>
        <v>0</v>
      </c>
      <c r="Q27" s="145">
        <f t="shared" si="3"/>
        <v>0</v>
      </c>
      <c r="R27" s="145">
        <f t="shared" si="3"/>
        <v>0</v>
      </c>
      <c r="S27" s="145">
        <f t="shared" si="3"/>
        <v>0</v>
      </c>
      <c r="T27" s="145">
        <f t="shared" si="3"/>
        <v>186.6</v>
      </c>
      <c r="U27" s="145">
        <f t="shared" si="3"/>
        <v>0</v>
      </c>
      <c r="W27" s="498" t="str">
        <f>HYPERLINK("https://www.oecd.org/els/emp/average-effective-age-of-retirement.htm","Průměrný věk odchodu do důchodu (OECD, 2018)")</f>
        <v>Průměrný věk odchodu do důchodu (OECD, 2018)</v>
      </c>
      <c r="X27" s="20">
        <v>63.2</v>
      </c>
      <c r="Y27" s="20">
        <v>62.7</v>
      </c>
    </row>
    <row r="28" ht="15.75" customHeight="1">
      <c r="A28" s="381" t="s">
        <v>449</v>
      </c>
      <c r="B28" s="145">
        <f t="shared" ref="B28:U28" si="4">B6*$Y$10</f>
        <v>171.9</v>
      </c>
      <c r="C28" s="145">
        <f t="shared" si="4"/>
        <v>0</v>
      </c>
      <c r="D28" s="145">
        <f t="shared" si="4"/>
        <v>0</v>
      </c>
      <c r="E28" s="145">
        <f t="shared" si="4"/>
        <v>0</v>
      </c>
      <c r="F28" s="145">
        <f t="shared" si="4"/>
        <v>171.9</v>
      </c>
      <c r="G28" s="145">
        <f t="shared" si="4"/>
        <v>0</v>
      </c>
      <c r="H28" s="145">
        <f t="shared" si="4"/>
        <v>0</v>
      </c>
      <c r="I28" s="145">
        <f t="shared" si="4"/>
        <v>0</v>
      </c>
      <c r="J28" s="145">
        <f t="shared" si="4"/>
        <v>0</v>
      </c>
      <c r="K28" s="145">
        <f t="shared" si="4"/>
        <v>0</v>
      </c>
      <c r="L28" s="145">
        <f t="shared" si="4"/>
        <v>171.9</v>
      </c>
      <c r="M28" s="145">
        <f t="shared" si="4"/>
        <v>0</v>
      </c>
      <c r="N28" s="145">
        <f t="shared" si="4"/>
        <v>171.9</v>
      </c>
      <c r="O28" s="145">
        <f t="shared" si="4"/>
        <v>171.9</v>
      </c>
      <c r="P28" s="145">
        <f t="shared" si="4"/>
        <v>0</v>
      </c>
      <c r="Q28" s="145">
        <f t="shared" si="4"/>
        <v>0</v>
      </c>
      <c r="R28" s="145">
        <f t="shared" si="4"/>
        <v>171.9</v>
      </c>
      <c r="S28" s="145">
        <f t="shared" si="4"/>
        <v>0</v>
      </c>
      <c r="T28" s="145">
        <f t="shared" si="4"/>
        <v>171.9</v>
      </c>
      <c r="U28" s="145">
        <f t="shared" si="4"/>
        <v>0</v>
      </c>
    </row>
    <row r="29" ht="15.75" customHeight="1">
      <c r="A29" s="381" t="s">
        <v>450</v>
      </c>
      <c r="B29" s="145">
        <f t="shared" ref="B29:U29" si="5">B7*$Y$11</f>
        <v>0</v>
      </c>
      <c r="C29" s="145">
        <f t="shared" si="5"/>
        <v>0</v>
      </c>
      <c r="D29" s="145">
        <f t="shared" si="5"/>
        <v>0</v>
      </c>
      <c r="E29" s="145">
        <f t="shared" si="5"/>
        <v>157.2</v>
      </c>
      <c r="F29" s="145">
        <f t="shared" si="5"/>
        <v>0</v>
      </c>
      <c r="G29" s="145">
        <f t="shared" si="5"/>
        <v>157.2</v>
      </c>
      <c r="H29" s="145">
        <f t="shared" si="5"/>
        <v>157.2</v>
      </c>
      <c r="I29" s="145">
        <f t="shared" si="5"/>
        <v>0</v>
      </c>
      <c r="J29" s="145">
        <f t="shared" si="5"/>
        <v>157.2</v>
      </c>
      <c r="K29" s="145">
        <f t="shared" si="5"/>
        <v>0</v>
      </c>
      <c r="L29" s="145">
        <f t="shared" si="5"/>
        <v>0</v>
      </c>
      <c r="M29" s="145">
        <f t="shared" si="5"/>
        <v>0</v>
      </c>
      <c r="N29" s="145">
        <f t="shared" si="5"/>
        <v>0</v>
      </c>
      <c r="O29" s="145">
        <f t="shared" si="5"/>
        <v>419.2</v>
      </c>
      <c r="P29" s="145">
        <f t="shared" si="5"/>
        <v>0</v>
      </c>
      <c r="Q29" s="145">
        <f t="shared" si="5"/>
        <v>157.2</v>
      </c>
      <c r="R29" s="145">
        <f t="shared" si="5"/>
        <v>157.2</v>
      </c>
      <c r="S29" s="145">
        <f t="shared" si="5"/>
        <v>157.2</v>
      </c>
      <c r="T29" s="145">
        <f t="shared" si="5"/>
        <v>157.2</v>
      </c>
      <c r="U29" s="145">
        <f t="shared" si="5"/>
        <v>157.2</v>
      </c>
    </row>
    <row r="30" ht="15.75" customHeight="1">
      <c r="A30" s="381" t="s">
        <v>451</v>
      </c>
      <c r="B30" s="145">
        <f t="shared" ref="B30:U30" si="6">B8*$Y$12</f>
        <v>142.5</v>
      </c>
      <c r="C30" s="145">
        <f t="shared" si="6"/>
        <v>0</v>
      </c>
      <c r="D30" s="145">
        <f t="shared" si="6"/>
        <v>142.5</v>
      </c>
      <c r="E30" s="145">
        <f t="shared" si="6"/>
        <v>332.5</v>
      </c>
      <c r="F30" s="145">
        <f t="shared" si="6"/>
        <v>142.5</v>
      </c>
      <c r="G30" s="145">
        <f t="shared" si="6"/>
        <v>142.5</v>
      </c>
      <c r="H30" s="145">
        <f t="shared" si="6"/>
        <v>142.5</v>
      </c>
      <c r="I30" s="145">
        <f t="shared" si="6"/>
        <v>142.5</v>
      </c>
      <c r="J30" s="145">
        <f t="shared" si="6"/>
        <v>0</v>
      </c>
      <c r="K30" s="145">
        <f t="shared" si="6"/>
        <v>0</v>
      </c>
      <c r="L30" s="145">
        <f t="shared" si="6"/>
        <v>142.5</v>
      </c>
      <c r="M30" s="145">
        <f t="shared" si="6"/>
        <v>0</v>
      </c>
      <c r="N30" s="145">
        <f t="shared" si="6"/>
        <v>142.5</v>
      </c>
      <c r="O30" s="145">
        <f t="shared" si="6"/>
        <v>902.5</v>
      </c>
      <c r="P30" s="145">
        <f t="shared" si="6"/>
        <v>142.5</v>
      </c>
      <c r="Q30" s="145">
        <f t="shared" si="6"/>
        <v>285</v>
      </c>
      <c r="R30" s="145">
        <f t="shared" si="6"/>
        <v>142.5</v>
      </c>
      <c r="S30" s="145">
        <f t="shared" si="6"/>
        <v>142.5</v>
      </c>
      <c r="T30" s="145">
        <f t="shared" si="6"/>
        <v>285</v>
      </c>
      <c r="U30" s="145">
        <f t="shared" si="6"/>
        <v>0</v>
      </c>
    </row>
    <row r="31" ht="15.75" customHeight="1">
      <c r="A31" s="381" t="s">
        <v>452</v>
      </c>
      <c r="B31" s="145">
        <f t="shared" ref="B31:U31" si="7">B9*$Y$13</f>
        <v>0</v>
      </c>
      <c r="C31" s="145">
        <f t="shared" si="7"/>
        <v>0</v>
      </c>
      <c r="D31" s="145">
        <f t="shared" si="7"/>
        <v>0</v>
      </c>
      <c r="E31" s="145">
        <f t="shared" si="7"/>
        <v>426</v>
      </c>
      <c r="F31" s="145">
        <f t="shared" si="7"/>
        <v>127.8</v>
      </c>
      <c r="G31" s="145">
        <f t="shared" si="7"/>
        <v>255.6</v>
      </c>
      <c r="H31" s="145">
        <f t="shared" si="7"/>
        <v>255.6</v>
      </c>
      <c r="I31" s="145">
        <f t="shared" si="7"/>
        <v>127.8</v>
      </c>
      <c r="J31" s="145">
        <f t="shared" si="7"/>
        <v>127.8</v>
      </c>
      <c r="K31" s="145">
        <f t="shared" si="7"/>
        <v>0</v>
      </c>
      <c r="L31" s="145">
        <f t="shared" si="7"/>
        <v>213</v>
      </c>
      <c r="M31" s="145">
        <f t="shared" si="7"/>
        <v>127.8</v>
      </c>
      <c r="N31" s="145">
        <f t="shared" si="7"/>
        <v>127.8</v>
      </c>
      <c r="O31" s="145">
        <f t="shared" si="7"/>
        <v>2044.8</v>
      </c>
      <c r="P31" s="145">
        <f t="shared" si="7"/>
        <v>298.2</v>
      </c>
      <c r="Q31" s="145">
        <f t="shared" si="7"/>
        <v>340.8</v>
      </c>
      <c r="R31" s="145">
        <f t="shared" si="7"/>
        <v>340.8</v>
      </c>
      <c r="S31" s="145">
        <f t="shared" si="7"/>
        <v>127.8</v>
      </c>
      <c r="T31" s="145">
        <f t="shared" si="7"/>
        <v>383.4</v>
      </c>
      <c r="U31" s="145">
        <f t="shared" si="7"/>
        <v>127.8</v>
      </c>
    </row>
    <row r="32" ht="15.75" customHeight="1">
      <c r="A32" s="381" t="s">
        <v>453</v>
      </c>
      <c r="B32" s="145">
        <f t="shared" ref="B32:U32" si="8">B10*$Y$14</f>
        <v>0</v>
      </c>
      <c r="C32" s="145">
        <f t="shared" si="8"/>
        <v>0</v>
      </c>
      <c r="D32" s="145">
        <f t="shared" si="8"/>
        <v>113.4</v>
      </c>
      <c r="E32" s="145">
        <f t="shared" si="8"/>
        <v>1247.4</v>
      </c>
      <c r="F32" s="145">
        <f t="shared" si="8"/>
        <v>264.6</v>
      </c>
      <c r="G32" s="145">
        <f t="shared" si="8"/>
        <v>113.4</v>
      </c>
      <c r="H32" s="145">
        <f t="shared" si="8"/>
        <v>113.4</v>
      </c>
      <c r="I32" s="145">
        <f t="shared" si="8"/>
        <v>113.4</v>
      </c>
      <c r="J32" s="145">
        <f t="shared" si="8"/>
        <v>113.4</v>
      </c>
      <c r="K32" s="145">
        <f t="shared" si="8"/>
        <v>0</v>
      </c>
      <c r="L32" s="145">
        <f t="shared" si="8"/>
        <v>264.6</v>
      </c>
      <c r="M32" s="145">
        <f t="shared" si="8"/>
        <v>113.4</v>
      </c>
      <c r="N32" s="145">
        <f t="shared" si="8"/>
        <v>113.4</v>
      </c>
      <c r="O32" s="145">
        <f t="shared" si="8"/>
        <v>2343.6</v>
      </c>
      <c r="P32" s="145">
        <f t="shared" si="8"/>
        <v>415.8</v>
      </c>
      <c r="Q32" s="145">
        <f t="shared" si="8"/>
        <v>529.2</v>
      </c>
      <c r="R32" s="145">
        <f t="shared" si="8"/>
        <v>491.4</v>
      </c>
      <c r="S32" s="145">
        <f t="shared" si="8"/>
        <v>113.4</v>
      </c>
      <c r="T32" s="145">
        <f t="shared" si="8"/>
        <v>189</v>
      </c>
      <c r="U32" s="145">
        <f t="shared" si="8"/>
        <v>113.4</v>
      </c>
    </row>
    <row r="33" ht="15.75" customHeight="1">
      <c r="A33" s="381" t="s">
        <v>454</v>
      </c>
      <c r="B33" s="145">
        <f t="shared" ref="B33:U33" si="9">B11*$Y$15</f>
        <v>99</v>
      </c>
      <c r="C33" s="145">
        <f t="shared" si="9"/>
        <v>0</v>
      </c>
      <c r="D33" s="145">
        <f t="shared" si="9"/>
        <v>264</v>
      </c>
      <c r="E33" s="145">
        <f t="shared" si="9"/>
        <v>1716</v>
      </c>
      <c r="F33" s="145">
        <f t="shared" si="9"/>
        <v>330</v>
      </c>
      <c r="G33" s="145">
        <f t="shared" si="9"/>
        <v>99</v>
      </c>
      <c r="H33" s="145">
        <f t="shared" si="9"/>
        <v>99</v>
      </c>
      <c r="I33" s="145">
        <f t="shared" si="9"/>
        <v>99</v>
      </c>
      <c r="J33" s="145">
        <f t="shared" si="9"/>
        <v>99</v>
      </c>
      <c r="K33" s="145">
        <f t="shared" si="9"/>
        <v>0</v>
      </c>
      <c r="L33" s="145">
        <f t="shared" si="9"/>
        <v>297</v>
      </c>
      <c r="M33" s="145">
        <f t="shared" si="9"/>
        <v>198</v>
      </c>
      <c r="N33" s="145">
        <f t="shared" si="9"/>
        <v>231</v>
      </c>
      <c r="O33" s="145">
        <f t="shared" si="9"/>
        <v>2310</v>
      </c>
      <c r="P33" s="145">
        <f t="shared" si="9"/>
        <v>693</v>
      </c>
      <c r="Q33" s="145">
        <f t="shared" si="9"/>
        <v>594</v>
      </c>
      <c r="R33" s="145">
        <f t="shared" si="9"/>
        <v>1089</v>
      </c>
      <c r="S33" s="145">
        <f t="shared" si="9"/>
        <v>198</v>
      </c>
      <c r="T33" s="145">
        <f t="shared" si="9"/>
        <v>693</v>
      </c>
      <c r="U33" s="145">
        <f t="shared" si="9"/>
        <v>99</v>
      </c>
    </row>
    <row r="34" ht="15.75" customHeight="1">
      <c r="A34" s="381" t="s">
        <v>455</v>
      </c>
      <c r="B34" s="145">
        <f t="shared" ref="B34:U34" si="10">B12*$Y$16</f>
        <v>85.2</v>
      </c>
      <c r="C34" s="145">
        <f t="shared" si="10"/>
        <v>0</v>
      </c>
      <c r="D34" s="145">
        <f t="shared" si="10"/>
        <v>369.2</v>
      </c>
      <c r="E34" s="145">
        <f t="shared" si="10"/>
        <v>2357.2</v>
      </c>
      <c r="F34" s="145">
        <f t="shared" si="10"/>
        <v>397.6</v>
      </c>
      <c r="G34" s="145">
        <f t="shared" si="10"/>
        <v>255.6</v>
      </c>
      <c r="H34" s="145">
        <f t="shared" si="10"/>
        <v>255.6</v>
      </c>
      <c r="I34" s="145">
        <f t="shared" si="10"/>
        <v>85.2</v>
      </c>
      <c r="J34" s="145">
        <f t="shared" si="10"/>
        <v>85.2</v>
      </c>
      <c r="K34" s="145">
        <f t="shared" si="10"/>
        <v>0</v>
      </c>
      <c r="L34" s="145">
        <f t="shared" si="10"/>
        <v>255.6</v>
      </c>
      <c r="M34" s="145">
        <f t="shared" si="10"/>
        <v>255.6</v>
      </c>
      <c r="N34" s="145">
        <f t="shared" si="10"/>
        <v>511.2</v>
      </c>
      <c r="O34" s="145">
        <f t="shared" si="10"/>
        <v>2612.8</v>
      </c>
      <c r="P34" s="145">
        <f t="shared" si="10"/>
        <v>1562</v>
      </c>
      <c r="Q34" s="145">
        <f t="shared" si="10"/>
        <v>937.2</v>
      </c>
      <c r="R34" s="145">
        <f t="shared" si="10"/>
        <v>1306.4</v>
      </c>
      <c r="S34" s="145">
        <f t="shared" si="10"/>
        <v>511.2</v>
      </c>
      <c r="T34" s="145">
        <f t="shared" si="10"/>
        <v>908.8</v>
      </c>
      <c r="U34" s="145">
        <f t="shared" si="10"/>
        <v>596.4</v>
      </c>
    </row>
    <row r="35" ht="15.75" customHeight="1">
      <c r="A35" s="381" t="s">
        <v>456</v>
      </c>
      <c r="B35" s="145">
        <f t="shared" ref="B35:U35" si="11">B13*$Y$17</f>
        <v>71.7</v>
      </c>
      <c r="C35" s="145">
        <f t="shared" si="11"/>
        <v>0</v>
      </c>
      <c r="D35" s="145">
        <f t="shared" si="11"/>
        <v>1218.9</v>
      </c>
      <c r="E35" s="145">
        <f t="shared" si="11"/>
        <v>5305.8</v>
      </c>
      <c r="F35" s="145">
        <f t="shared" si="11"/>
        <v>764.8</v>
      </c>
      <c r="G35" s="145">
        <f t="shared" si="11"/>
        <v>406.3</v>
      </c>
      <c r="H35" s="145">
        <f t="shared" si="11"/>
        <v>406.3</v>
      </c>
      <c r="I35" s="145">
        <f t="shared" si="11"/>
        <v>167.3</v>
      </c>
      <c r="J35" s="145">
        <f t="shared" si="11"/>
        <v>71.7</v>
      </c>
      <c r="K35" s="145">
        <f t="shared" si="11"/>
        <v>0</v>
      </c>
      <c r="L35" s="145">
        <f t="shared" si="11"/>
        <v>262.9</v>
      </c>
      <c r="M35" s="145">
        <f t="shared" si="11"/>
        <v>573.6</v>
      </c>
      <c r="N35" s="145">
        <f t="shared" si="11"/>
        <v>621.4</v>
      </c>
      <c r="O35" s="145">
        <f t="shared" si="11"/>
        <v>4182.5</v>
      </c>
      <c r="P35" s="145">
        <f t="shared" si="11"/>
        <v>2461.7</v>
      </c>
      <c r="Q35" s="145">
        <f t="shared" si="11"/>
        <v>1242.8</v>
      </c>
      <c r="R35" s="145">
        <f t="shared" si="11"/>
        <v>2198.8</v>
      </c>
      <c r="S35" s="145">
        <f t="shared" si="11"/>
        <v>932.1</v>
      </c>
      <c r="T35" s="145">
        <f t="shared" si="11"/>
        <v>1720.8</v>
      </c>
      <c r="U35" s="145">
        <f t="shared" si="11"/>
        <v>1075.5</v>
      </c>
    </row>
    <row r="36" ht="15.75" customHeight="1">
      <c r="A36" s="381" t="s">
        <v>457</v>
      </c>
      <c r="B36" s="145">
        <f t="shared" ref="B36:U36" si="12">B14*$Y$18</f>
        <v>137.9</v>
      </c>
      <c r="C36" s="145">
        <f t="shared" si="12"/>
        <v>0</v>
      </c>
      <c r="D36" s="145">
        <f t="shared" si="12"/>
        <v>2304.9</v>
      </c>
      <c r="E36" s="145">
        <f t="shared" si="12"/>
        <v>9593.9</v>
      </c>
      <c r="F36" s="145">
        <f t="shared" si="12"/>
        <v>847.1</v>
      </c>
      <c r="G36" s="145">
        <f t="shared" si="12"/>
        <v>551.6</v>
      </c>
      <c r="H36" s="145">
        <f t="shared" si="12"/>
        <v>551.6</v>
      </c>
      <c r="I36" s="145">
        <f t="shared" si="12"/>
        <v>157.6</v>
      </c>
      <c r="J36" s="145">
        <f t="shared" si="12"/>
        <v>197</v>
      </c>
      <c r="K36" s="145">
        <f t="shared" si="12"/>
        <v>0</v>
      </c>
      <c r="L36" s="145">
        <f t="shared" si="12"/>
        <v>1004.7</v>
      </c>
      <c r="M36" s="145">
        <f t="shared" si="12"/>
        <v>748.6</v>
      </c>
      <c r="N36" s="145">
        <f t="shared" si="12"/>
        <v>1004.7</v>
      </c>
      <c r="O36" s="145">
        <f t="shared" si="12"/>
        <v>3506.6</v>
      </c>
      <c r="P36" s="145">
        <f t="shared" si="12"/>
        <v>3230.8</v>
      </c>
      <c r="Q36" s="145">
        <f t="shared" si="12"/>
        <v>2048.8</v>
      </c>
      <c r="R36" s="145">
        <f t="shared" si="12"/>
        <v>2167</v>
      </c>
      <c r="S36" s="145">
        <f t="shared" si="12"/>
        <v>1201.7</v>
      </c>
      <c r="T36" s="145">
        <f t="shared" si="12"/>
        <v>2895.9</v>
      </c>
      <c r="U36" s="145">
        <f t="shared" si="12"/>
        <v>1536.6</v>
      </c>
    </row>
    <row r="37" ht="15.75" customHeight="1">
      <c r="A37" s="381" t="s">
        <v>458</v>
      </c>
      <c r="B37" s="145">
        <f t="shared" ref="B37:U37" si="13">B15*$Y$19</f>
        <v>188.4</v>
      </c>
      <c r="C37" s="145">
        <f t="shared" si="13"/>
        <v>0</v>
      </c>
      <c r="D37" s="145">
        <f t="shared" si="13"/>
        <v>3532.5</v>
      </c>
      <c r="E37" s="145">
        <f t="shared" si="13"/>
        <v>12936.8</v>
      </c>
      <c r="F37" s="145">
        <f t="shared" si="13"/>
        <v>1177.5</v>
      </c>
      <c r="G37" s="145">
        <f t="shared" si="13"/>
        <v>361.1</v>
      </c>
      <c r="H37" s="145">
        <f t="shared" si="13"/>
        <v>361.1</v>
      </c>
      <c r="I37" s="145">
        <f t="shared" si="13"/>
        <v>219.8</v>
      </c>
      <c r="J37" s="145">
        <f t="shared" si="13"/>
        <v>266.9</v>
      </c>
      <c r="K37" s="145">
        <f t="shared" si="13"/>
        <v>0</v>
      </c>
      <c r="L37" s="145">
        <f t="shared" si="13"/>
        <v>879.2</v>
      </c>
      <c r="M37" s="145">
        <f t="shared" si="13"/>
        <v>706.5</v>
      </c>
      <c r="N37" s="145">
        <f t="shared" si="13"/>
        <v>1099</v>
      </c>
      <c r="O37" s="145">
        <f t="shared" si="13"/>
        <v>3893.6</v>
      </c>
      <c r="P37" s="145">
        <f t="shared" si="13"/>
        <v>3406.9</v>
      </c>
      <c r="Q37" s="145">
        <f t="shared" si="13"/>
        <v>2307.9</v>
      </c>
      <c r="R37" s="145">
        <f t="shared" si="13"/>
        <v>1852.6</v>
      </c>
      <c r="S37" s="145">
        <f t="shared" si="13"/>
        <v>957.7</v>
      </c>
      <c r="T37" s="145">
        <f t="shared" si="13"/>
        <v>3783.7</v>
      </c>
      <c r="U37" s="145">
        <f t="shared" si="13"/>
        <v>2621.9</v>
      </c>
    </row>
    <row r="38" ht="15.75" customHeight="1">
      <c r="A38" s="381" t="s">
        <v>593</v>
      </c>
      <c r="B38" s="145">
        <f t="shared" ref="B38:U38" si="14">B16*$Y$20</f>
        <v>204</v>
      </c>
      <c r="C38" s="145">
        <f t="shared" si="14"/>
        <v>0</v>
      </c>
      <c r="D38" s="145">
        <f t="shared" si="14"/>
        <v>3348</v>
      </c>
      <c r="E38" s="145">
        <f t="shared" si="14"/>
        <v>14520</v>
      </c>
      <c r="F38" s="145">
        <f t="shared" si="14"/>
        <v>936</v>
      </c>
      <c r="G38" s="145">
        <f t="shared" si="14"/>
        <v>240</v>
      </c>
      <c r="H38" s="145">
        <f t="shared" si="14"/>
        <v>240</v>
      </c>
      <c r="I38" s="145">
        <f t="shared" si="14"/>
        <v>72</v>
      </c>
      <c r="J38" s="145">
        <f t="shared" si="14"/>
        <v>108</v>
      </c>
      <c r="K38" s="145">
        <f t="shared" si="14"/>
        <v>0</v>
      </c>
      <c r="L38" s="145">
        <f t="shared" si="14"/>
        <v>816</v>
      </c>
      <c r="M38" s="145">
        <f t="shared" si="14"/>
        <v>444</v>
      </c>
      <c r="N38" s="145">
        <f t="shared" si="14"/>
        <v>792</v>
      </c>
      <c r="O38" s="145">
        <f t="shared" si="14"/>
        <v>2892</v>
      </c>
      <c r="P38" s="145">
        <f t="shared" si="14"/>
        <v>2412</v>
      </c>
      <c r="Q38" s="145">
        <f t="shared" si="14"/>
        <v>1548</v>
      </c>
      <c r="R38" s="145">
        <f t="shared" si="14"/>
        <v>1080</v>
      </c>
      <c r="S38" s="145">
        <f t="shared" si="14"/>
        <v>972</v>
      </c>
      <c r="T38" s="145">
        <f t="shared" si="14"/>
        <v>4020</v>
      </c>
      <c r="U38" s="145">
        <f t="shared" si="14"/>
        <v>2844</v>
      </c>
    </row>
    <row r="39" ht="15.75" customHeight="1">
      <c r="A39" s="381" t="s">
        <v>594</v>
      </c>
      <c r="B39" s="145">
        <f t="shared" ref="B39:U39" si="15">B17*$Y$21</f>
        <v>146.2</v>
      </c>
      <c r="C39" s="145">
        <f t="shared" si="15"/>
        <v>0</v>
      </c>
      <c r="D39" s="145">
        <f t="shared" si="15"/>
        <v>3483</v>
      </c>
      <c r="E39" s="145">
        <f t="shared" si="15"/>
        <v>17415</v>
      </c>
      <c r="F39" s="145">
        <f t="shared" si="15"/>
        <v>524.6</v>
      </c>
      <c r="G39" s="145">
        <f t="shared" si="15"/>
        <v>146.2</v>
      </c>
      <c r="H39" s="145">
        <f t="shared" si="15"/>
        <v>146.2</v>
      </c>
      <c r="I39" s="145">
        <f t="shared" si="15"/>
        <v>25.8</v>
      </c>
      <c r="J39" s="145">
        <f t="shared" si="15"/>
        <v>249.4</v>
      </c>
      <c r="K39" s="145">
        <f t="shared" si="15"/>
        <v>0</v>
      </c>
      <c r="L39" s="145">
        <f t="shared" si="15"/>
        <v>765.4</v>
      </c>
      <c r="M39" s="145">
        <f t="shared" si="15"/>
        <v>275.2</v>
      </c>
      <c r="N39" s="145">
        <f t="shared" si="15"/>
        <v>602</v>
      </c>
      <c r="O39" s="145">
        <f t="shared" si="15"/>
        <v>1505</v>
      </c>
      <c r="P39" s="145">
        <f t="shared" si="15"/>
        <v>1255.6</v>
      </c>
      <c r="Q39" s="145">
        <f t="shared" si="15"/>
        <v>1238.4</v>
      </c>
      <c r="R39" s="145">
        <f t="shared" si="15"/>
        <v>490.2</v>
      </c>
      <c r="S39" s="145">
        <f t="shared" si="15"/>
        <v>602</v>
      </c>
      <c r="T39" s="145">
        <f t="shared" si="15"/>
        <v>4351.6</v>
      </c>
      <c r="U39" s="145">
        <f t="shared" si="15"/>
        <v>3087.4</v>
      </c>
    </row>
    <row r="40" ht="15.75" customHeight="1">
      <c r="A40" s="381" t="s">
        <v>595</v>
      </c>
      <c r="B40" s="145">
        <f t="shared" ref="B40:U40" si="16">B18*$Y$22</f>
        <v>106.2</v>
      </c>
      <c r="C40" s="145">
        <f t="shared" si="16"/>
        <v>0</v>
      </c>
      <c r="D40" s="145">
        <f t="shared" si="16"/>
        <v>2749.4</v>
      </c>
      <c r="E40" s="145">
        <f t="shared" si="16"/>
        <v>18567.3</v>
      </c>
      <c r="F40" s="145">
        <f t="shared" si="16"/>
        <v>401.2</v>
      </c>
      <c r="G40" s="145">
        <f t="shared" si="16"/>
        <v>147.5</v>
      </c>
      <c r="H40" s="145">
        <f t="shared" si="16"/>
        <v>147.5</v>
      </c>
      <c r="I40" s="145">
        <f t="shared" si="16"/>
        <v>17.7</v>
      </c>
      <c r="J40" s="145">
        <f t="shared" si="16"/>
        <v>206.5</v>
      </c>
      <c r="K40" s="145">
        <f t="shared" si="16"/>
        <v>17.7</v>
      </c>
      <c r="L40" s="145">
        <f t="shared" si="16"/>
        <v>666.7</v>
      </c>
      <c r="M40" s="145">
        <f t="shared" si="16"/>
        <v>230.1</v>
      </c>
      <c r="N40" s="145">
        <f t="shared" si="16"/>
        <v>365.8</v>
      </c>
      <c r="O40" s="145">
        <f t="shared" si="16"/>
        <v>1103.3</v>
      </c>
      <c r="P40" s="145">
        <f t="shared" si="16"/>
        <v>666.7</v>
      </c>
      <c r="Q40" s="145">
        <f t="shared" si="16"/>
        <v>790.6</v>
      </c>
      <c r="R40" s="145">
        <f t="shared" si="16"/>
        <v>182.9</v>
      </c>
      <c r="S40" s="145">
        <f t="shared" si="16"/>
        <v>330.4</v>
      </c>
      <c r="T40" s="145">
        <f t="shared" si="16"/>
        <v>4678.7</v>
      </c>
      <c r="U40" s="145">
        <f t="shared" si="16"/>
        <v>3705.2</v>
      </c>
    </row>
    <row r="41" ht="15.75" customHeight="1">
      <c r="A41" s="381" t="s">
        <v>596</v>
      </c>
      <c r="B41" s="145">
        <f t="shared" ref="B41:U41" si="17">B19*$Y$23</f>
        <v>0</v>
      </c>
      <c r="C41" s="145">
        <f t="shared" si="17"/>
        <v>0</v>
      </c>
      <c r="D41" s="145">
        <f t="shared" si="17"/>
        <v>0</v>
      </c>
      <c r="E41" s="145">
        <f t="shared" si="17"/>
        <v>0</v>
      </c>
      <c r="F41" s="145">
        <f t="shared" si="17"/>
        <v>0</v>
      </c>
      <c r="G41" s="145">
        <f t="shared" si="17"/>
        <v>0</v>
      </c>
      <c r="H41" s="145">
        <f t="shared" si="17"/>
        <v>0</v>
      </c>
      <c r="I41" s="145">
        <f t="shared" si="17"/>
        <v>0</v>
      </c>
      <c r="J41" s="145">
        <f t="shared" si="17"/>
        <v>0</v>
      </c>
      <c r="K41" s="145">
        <f t="shared" si="17"/>
        <v>0</v>
      </c>
      <c r="L41" s="145">
        <f t="shared" si="17"/>
        <v>0</v>
      </c>
      <c r="M41" s="145">
        <f t="shared" si="17"/>
        <v>0</v>
      </c>
      <c r="N41" s="145">
        <f t="shared" si="17"/>
        <v>0</v>
      </c>
      <c r="O41" s="145">
        <f t="shared" si="17"/>
        <v>0</v>
      </c>
      <c r="P41" s="145">
        <f t="shared" si="17"/>
        <v>0</v>
      </c>
      <c r="Q41" s="145">
        <f t="shared" si="17"/>
        <v>0</v>
      </c>
      <c r="R41" s="145">
        <f t="shared" si="17"/>
        <v>0</v>
      </c>
      <c r="S41" s="145">
        <f t="shared" si="17"/>
        <v>0</v>
      </c>
      <c r="T41" s="145">
        <f t="shared" si="17"/>
        <v>0</v>
      </c>
      <c r="U41" s="145">
        <f t="shared" si="17"/>
        <v>0</v>
      </c>
    </row>
    <row r="42" ht="15.75" customHeight="1">
      <c r="A42" s="381" t="s">
        <v>597</v>
      </c>
      <c r="B42" s="145">
        <f t="shared" ref="B42:U42" si="18">B20*$Y$24</f>
        <v>0</v>
      </c>
      <c r="C42" s="145">
        <f t="shared" si="18"/>
        <v>0</v>
      </c>
      <c r="D42" s="145">
        <f t="shared" si="18"/>
        <v>0</v>
      </c>
      <c r="E42" s="145">
        <f t="shared" si="18"/>
        <v>0</v>
      </c>
      <c r="F42" s="145">
        <f t="shared" si="18"/>
        <v>0</v>
      </c>
      <c r="G42" s="145">
        <f t="shared" si="18"/>
        <v>0</v>
      </c>
      <c r="H42" s="145">
        <f t="shared" si="18"/>
        <v>0</v>
      </c>
      <c r="I42" s="145">
        <f t="shared" si="18"/>
        <v>0</v>
      </c>
      <c r="J42" s="145">
        <f t="shared" si="18"/>
        <v>0</v>
      </c>
      <c r="K42" s="145">
        <f t="shared" si="18"/>
        <v>0</v>
      </c>
      <c r="L42" s="145">
        <f t="shared" si="18"/>
        <v>0</v>
      </c>
      <c r="M42" s="145">
        <f t="shared" si="18"/>
        <v>0</v>
      </c>
      <c r="N42" s="145">
        <f t="shared" si="18"/>
        <v>0</v>
      </c>
      <c r="O42" s="145">
        <f t="shared" si="18"/>
        <v>0</v>
      </c>
      <c r="P42" s="145">
        <f t="shared" si="18"/>
        <v>0</v>
      </c>
      <c r="Q42" s="145">
        <f t="shared" si="18"/>
        <v>0</v>
      </c>
      <c r="R42" s="145">
        <f t="shared" si="18"/>
        <v>0</v>
      </c>
      <c r="S42" s="145">
        <f t="shared" si="18"/>
        <v>0</v>
      </c>
      <c r="T42" s="145">
        <f t="shared" si="18"/>
        <v>0</v>
      </c>
      <c r="U42" s="145">
        <f t="shared" si="18"/>
        <v>0</v>
      </c>
    </row>
    <row r="43" ht="15.75" customHeight="1">
      <c r="A43" s="13" t="s">
        <v>68</v>
      </c>
      <c r="B43" s="13">
        <f t="shared" ref="B43:U43" si="19">SUM(B26:B42)</f>
        <v>1353</v>
      </c>
      <c r="C43" s="13">
        <f t="shared" si="19"/>
        <v>0</v>
      </c>
      <c r="D43" s="13">
        <f t="shared" si="19"/>
        <v>17525.8</v>
      </c>
      <c r="E43" s="13">
        <f t="shared" si="19"/>
        <v>84575.1</v>
      </c>
      <c r="F43" s="13">
        <f t="shared" si="19"/>
        <v>6272.2</v>
      </c>
      <c r="G43" s="13">
        <f t="shared" si="19"/>
        <v>3062.6</v>
      </c>
      <c r="H43" s="13">
        <f t="shared" si="19"/>
        <v>3062.6</v>
      </c>
      <c r="I43" s="13">
        <f t="shared" si="19"/>
        <v>1228.1</v>
      </c>
      <c r="J43" s="13">
        <f t="shared" si="19"/>
        <v>1682.1</v>
      </c>
      <c r="K43" s="13">
        <f t="shared" si="19"/>
        <v>17.7</v>
      </c>
      <c r="L43" s="13">
        <f t="shared" si="19"/>
        <v>5926.1</v>
      </c>
      <c r="M43" s="13">
        <f t="shared" si="19"/>
        <v>3672.8</v>
      </c>
      <c r="N43" s="13">
        <f t="shared" si="19"/>
        <v>5782.7</v>
      </c>
      <c r="O43" s="13">
        <f t="shared" si="19"/>
        <v>27887.8</v>
      </c>
      <c r="P43" s="13">
        <f t="shared" si="19"/>
        <v>16545.2</v>
      </c>
      <c r="Q43" s="13">
        <f t="shared" si="19"/>
        <v>12019.9</v>
      </c>
      <c r="R43" s="13">
        <f t="shared" si="19"/>
        <v>11670.7</v>
      </c>
      <c r="S43" s="13">
        <f t="shared" si="19"/>
        <v>6246</v>
      </c>
      <c r="T43" s="13">
        <f t="shared" si="19"/>
        <v>24609.8</v>
      </c>
      <c r="U43" s="13">
        <f t="shared" si="19"/>
        <v>15964.4</v>
      </c>
      <c r="V43" s="145">
        <f>SUM(A43:U43)</f>
        <v>249104.6</v>
      </c>
    </row>
    <row r="44" ht="15.75" customHeight="1"/>
    <row r="45" ht="15.75" customHeight="1">
      <c r="A45" s="499" t="s">
        <v>601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</row>
    <row r="46" ht="15.75" customHeight="1">
      <c r="A46" s="210" t="s">
        <v>468</v>
      </c>
      <c r="B46" s="500" t="s">
        <v>288</v>
      </c>
      <c r="C46" s="500" t="s">
        <v>405</v>
      </c>
      <c r="D46" s="500" t="s">
        <v>469</v>
      </c>
      <c r="E46" s="500" t="s">
        <v>294</v>
      </c>
      <c r="F46" s="500" t="s">
        <v>296</v>
      </c>
      <c r="G46" s="500" t="s">
        <v>298</v>
      </c>
      <c r="H46" s="500" t="s">
        <v>300</v>
      </c>
      <c r="I46" s="500" t="s">
        <v>89</v>
      </c>
      <c r="J46" s="500" t="s">
        <v>303</v>
      </c>
      <c r="K46" s="500" t="s">
        <v>470</v>
      </c>
      <c r="L46" s="500" t="s">
        <v>307</v>
      </c>
      <c r="M46" s="500" t="s">
        <v>406</v>
      </c>
      <c r="N46" s="500" t="s">
        <v>311</v>
      </c>
      <c r="O46" s="500" t="s">
        <v>313</v>
      </c>
      <c r="P46" s="500" t="s">
        <v>315</v>
      </c>
      <c r="Q46" s="500" t="s">
        <v>407</v>
      </c>
      <c r="R46" s="500" t="s">
        <v>319</v>
      </c>
      <c r="S46" s="500" t="s">
        <v>321</v>
      </c>
      <c r="T46" s="500" t="s">
        <v>323</v>
      </c>
      <c r="U46" s="478" t="s">
        <v>408</v>
      </c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</row>
    <row r="47" ht="15.75" customHeight="1">
      <c r="A47" s="380" t="s">
        <v>447</v>
      </c>
      <c r="B47" s="378">
        <f t="shared" ref="B47:U47" si="20">B4*($Y$27-17.5)</f>
        <v>0</v>
      </c>
      <c r="C47" s="378">
        <f t="shared" si="20"/>
        <v>0</v>
      </c>
      <c r="D47" s="378">
        <f t="shared" si="20"/>
        <v>0</v>
      </c>
      <c r="E47" s="378">
        <f t="shared" si="20"/>
        <v>0</v>
      </c>
      <c r="F47" s="378">
        <f t="shared" si="20"/>
        <v>0</v>
      </c>
      <c r="G47" s="378">
        <f t="shared" si="20"/>
        <v>0</v>
      </c>
      <c r="H47" s="378">
        <f t="shared" si="20"/>
        <v>0</v>
      </c>
      <c r="I47" s="378">
        <f t="shared" si="20"/>
        <v>0</v>
      </c>
      <c r="J47" s="378">
        <f t="shared" si="20"/>
        <v>0</v>
      </c>
      <c r="K47" s="378">
        <f t="shared" si="20"/>
        <v>0</v>
      </c>
      <c r="L47" s="378">
        <f t="shared" si="20"/>
        <v>0</v>
      </c>
      <c r="M47" s="378">
        <f t="shared" si="20"/>
        <v>0</v>
      </c>
      <c r="N47" s="378">
        <f t="shared" si="20"/>
        <v>0</v>
      </c>
      <c r="O47" s="378">
        <f t="shared" si="20"/>
        <v>0</v>
      </c>
      <c r="P47" s="378">
        <f t="shared" si="20"/>
        <v>0</v>
      </c>
      <c r="Q47" s="378">
        <f t="shared" si="20"/>
        <v>0</v>
      </c>
      <c r="R47" s="378">
        <f t="shared" si="20"/>
        <v>0</v>
      </c>
      <c r="S47" s="378">
        <f t="shared" si="20"/>
        <v>0</v>
      </c>
      <c r="T47" s="378">
        <f t="shared" si="20"/>
        <v>135.6</v>
      </c>
      <c r="U47" s="378">
        <f t="shared" si="20"/>
        <v>0</v>
      </c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</row>
    <row r="48" ht="15.75" customHeight="1">
      <c r="A48" s="380" t="s">
        <v>448</v>
      </c>
      <c r="B48" s="378">
        <f t="shared" ref="B48:U48" si="21">B5*($Y$27-22.5)</f>
        <v>0</v>
      </c>
      <c r="C48" s="378">
        <f t="shared" si="21"/>
        <v>0</v>
      </c>
      <c r="D48" s="378">
        <f t="shared" si="21"/>
        <v>0</v>
      </c>
      <c r="E48" s="378">
        <f t="shared" si="21"/>
        <v>0</v>
      </c>
      <c r="F48" s="378">
        <f t="shared" si="21"/>
        <v>120.6</v>
      </c>
      <c r="G48" s="378">
        <f t="shared" si="21"/>
        <v>120.6</v>
      </c>
      <c r="H48" s="378">
        <f t="shared" si="21"/>
        <v>120.6</v>
      </c>
      <c r="I48" s="378">
        <f t="shared" si="21"/>
        <v>0</v>
      </c>
      <c r="J48" s="378">
        <f t="shared" si="21"/>
        <v>0</v>
      </c>
      <c r="K48" s="378">
        <f t="shared" si="21"/>
        <v>0</v>
      </c>
      <c r="L48" s="378">
        <f t="shared" si="21"/>
        <v>120.6</v>
      </c>
      <c r="M48" s="378">
        <f t="shared" si="21"/>
        <v>0</v>
      </c>
      <c r="N48" s="378">
        <f t="shared" si="21"/>
        <v>0</v>
      </c>
      <c r="O48" s="378">
        <f t="shared" si="21"/>
        <v>0</v>
      </c>
      <c r="P48" s="378">
        <f t="shared" si="21"/>
        <v>0</v>
      </c>
      <c r="Q48" s="378">
        <f t="shared" si="21"/>
        <v>0</v>
      </c>
      <c r="R48" s="378">
        <f t="shared" si="21"/>
        <v>0</v>
      </c>
      <c r="S48" s="378">
        <f t="shared" si="21"/>
        <v>0</v>
      </c>
      <c r="T48" s="378">
        <f t="shared" si="21"/>
        <v>120.6</v>
      </c>
      <c r="U48" s="378">
        <f t="shared" si="21"/>
        <v>0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</row>
    <row r="49" ht="15.75" customHeight="1">
      <c r="A49" s="380" t="s">
        <v>449</v>
      </c>
      <c r="B49" s="378">
        <f t="shared" ref="B49:U49" si="22">B6*($Y$27-27.5)</f>
        <v>105.6</v>
      </c>
      <c r="C49" s="378">
        <f t="shared" si="22"/>
        <v>0</v>
      </c>
      <c r="D49" s="378">
        <f t="shared" si="22"/>
        <v>0</v>
      </c>
      <c r="E49" s="378">
        <f t="shared" si="22"/>
        <v>0</v>
      </c>
      <c r="F49" s="378">
        <f t="shared" si="22"/>
        <v>105.6</v>
      </c>
      <c r="G49" s="378">
        <f t="shared" si="22"/>
        <v>0</v>
      </c>
      <c r="H49" s="378">
        <f t="shared" si="22"/>
        <v>0</v>
      </c>
      <c r="I49" s="378">
        <f t="shared" si="22"/>
        <v>0</v>
      </c>
      <c r="J49" s="378">
        <f t="shared" si="22"/>
        <v>0</v>
      </c>
      <c r="K49" s="378">
        <f t="shared" si="22"/>
        <v>0</v>
      </c>
      <c r="L49" s="378">
        <f t="shared" si="22"/>
        <v>105.6</v>
      </c>
      <c r="M49" s="378">
        <f t="shared" si="22"/>
        <v>0</v>
      </c>
      <c r="N49" s="378">
        <f t="shared" si="22"/>
        <v>105.6</v>
      </c>
      <c r="O49" s="378">
        <f t="shared" si="22"/>
        <v>105.6</v>
      </c>
      <c r="P49" s="378">
        <f t="shared" si="22"/>
        <v>0</v>
      </c>
      <c r="Q49" s="378">
        <f t="shared" si="22"/>
        <v>0</v>
      </c>
      <c r="R49" s="378">
        <f t="shared" si="22"/>
        <v>105.6</v>
      </c>
      <c r="S49" s="378">
        <f t="shared" si="22"/>
        <v>0</v>
      </c>
      <c r="T49" s="378">
        <f t="shared" si="22"/>
        <v>105.6</v>
      </c>
      <c r="U49" s="378">
        <f t="shared" si="22"/>
        <v>0</v>
      </c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</row>
    <row r="50" ht="15.75" customHeight="1">
      <c r="A50" s="380" t="s">
        <v>450</v>
      </c>
      <c r="B50" s="378">
        <f t="shared" ref="B50:U50" si="23">B7*($Y$27-32.5)</f>
        <v>0</v>
      </c>
      <c r="C50" s="378">
        <f t="shared" si="23"/>
        <v>0</v>
      </c>
      <c r="D50" s="378">
        <f t="shared" si="23"/>
        <v>0</v>
      </c>
      <c r="E50" s="378">
        <f t="shared" si="23"/>
        <v>90.6</v>
      </c>
      <c r="F50" s="378">
        <f t="shared" si="23"/>
        <v>0</v>
      </c>
      <c r="G50" s="378">
        <f t="shared" si="23"/>
        <v>90.6</v>
      </c>
      <c r="H50" s="378">
        <f t="shared" si="23"/>
        <v>90.6</v>
      </c>
      <c r="I50" s="378">
        <f t="shared" si="23"/>
        <v>0</v>
      </c>
      <c r="J50" s="378">
        <f t="shared" si="23"/>
        <v>90.6</v>
      </c>
      <c r="K50" s="378">
        <f t="shared" si="23"/>
        <v>0</v>
      </c>
      <c r="L50" s="378">
        <f t="shared" si="23"/>
        <v>0</v>
      </c>
      <c r="M50" s="378">
        <f t="shared" si="23"/>
        <v>0</v>
      </c>
      <c r="N50" s="378">
        <f t="shared" si="23"/>
        <v>0</v>
      </c>
      <c r="O50" s="378">
        <f t="shared" si="23"/>
        <v>241.6</v>
      </c>
      <c r="P50" s="378">
        <f t="shared" si="23"/>
        <v>0</v>
      </c>
      <c r="Q50" s="378">
        <f t="shared" si="23"/>
        <v>90.6</v>
      </c>
      <c r="R50" s="378">
        <f t="shared" si="23"/>
        <v>90.6</v>
      </c>
      <c r="S50" s="378">
        <f t="shared" si="23"/>
        <v>90.6</v>
      </c>
      <c r="T50" s="378">
        <f t="shared" si="23"/>
        <v>90.6</v>
      </c>
      <c r="U50" s="378">
        <f t="shared" si="23"/>
        <v>90.6</v>
      </c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</row>
    <row r="51" ht="15.75" customHeight="1">
      <c r="A51" s="380" t="s">
        <v>451</v>
      </c>
      <c r="B51" s="378">
        <f t="shared" ref="B51:U51" si="24">B8*($Y$27-37.5)</f>
        <v>75.6</v>
      </c>
      <c r="C51" s="378">
        <f t="shared" si="24"/>
        <v>0</v>
      </c>
      <c r="D51" s="378">
        <f t="shared" si="24"/>
        <v>75.6</v>
      </c>
      <c r="E51" s="378">
        <f t="shared" si="24"/>
        <v>176.4</v>
      </c>
      <c r="F51" s="378">
        <f t="shared" si="24"/>
        <v>75.6</v>
      </c>
      <c r="G51" s="378">
        <f t="shared" si="24"/>
        <v>75.6</v>
      </c>
      <c r="H51" s="378">
        <f t="shared" si="24"/>
        <v>75.6</v>
      </c>
      <c r="I51" s="378">
        <f t="shared" si="24"/>
        <v>75.6</v>
      </c>
      <c r="J51" s="378">
        <f t="shared" si="24"/>
        <v>0</v>
      </c>
      <c r="K51" s="378">
        <f t="shared" si="24"/>
        <v>0</v>
      </c>
      <c r="L51" s="378">
        <f t="shared" si="24"/>
        <v>75.6</v>
      </c>
      <c r="M51" s="378">
        <f t="shared" si="24"/>
        <v>0</v>
      </c>
      <c r="N51" s="378">
        <f t="shared" si="24"/>
        <v>75.6</v>
      </c>
      <c r="O51" s="378">
        <f t="shared" si="24"/>
        <v>478.8</v>
      </c>
      <c r="P51" s="378">
        <f t="shared" si="24"/>
        <v>75.6</v>
      </c>
      <c r="Q51" s="378">
        <f t="shared" si="24"/>
        <v>151.2</v>
      </c>
      <c r="R51" s="378">
        <f t="shared" si="24"/>
        <v>75.6</v>
      </c>
      <c r="S51" s="378">
        <f t="shared" si="24"/>
        <v>75.6</v>
      </c>
      <c r="T51" s="378">
        <f t="shared" si="24"/>
        <v>151.2</v>
      </c>
      <c r="U51" s="378">
        <f t="shared" si="24"/>
        <v>0</v>
      </c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</row>
    <row r="52" ht="15.75" customHeight="1">
      <c r="A52" s="380" t="s">
        <v>452</v>
      </c>
      <c r="B52" s="378">
        <f t="shared" ref="B52:U52" si="25">B9*($Y$27-42.5)</f>
        <v>0</v>
      </c>
      <c r="C52" s="378">
        <f t="shared" si="25"/>
        <v>0</v>
      </c>
      <c r="D52" s="378">
        <f t="shared" si="25"/>
        <v>0</v>
      </c>
      <c r="E52" s="378">
        <f t="shared" si="25"/>
        <v>202</v>
      </c>
      <c r="F52" s="378">
        <f t="shared" si="25"/>
        <v>60.6</v>
      </c>
      <c r="G52" s="378">
        <f t="shared" si="25"/>
        <v>121.2</v>
      </c>
      <c r="H52" s="378">
        <f t="shared" si="25"/>
        <v>121.2</v>
      </c>
      <c r="I52" s="378">
        <f t="shared" si="25"/>
        <v>60.6</v>
      </c>
      <c r="J52" s="378">
        <f t="shared" si="25"/>
        <v>60.6</v>
      </c>
      <c r="K52" s="378">
        <f t="shared" si="25"/>
        <v>0</v>
      </c>
      <c r="L52" s="378">
        <f t="shared" si="25"/>
        <v>101</v>
      </c>
      <c r="M52" s="378">
        <f t="shared" si="25"/>
        <v>60.6</v>
      </c>
      <c r="N52" s="378">
        <f t="shared" si="25"/>
        <v>60.6</v>
      </c>
      <c r="O52" s="378">
        <f t="shared" si="25"/>
        <v>969.6</v>
      </c>
      <c r="P52" s="378">
        <f t="shared" si="25"/>
        <v>141.4</v>
      </c>
      <c r="Q52" s="378">
        <f t="shared" si="25"/>
        <v>161.6</v>
      </c>
      <c r="R52" s="378">
        <f t="shared" si="25"/>
        <v>161.6</v>
      </c>
      <c r="S52" s="378">
        <f t="shared" si="25"/>
        <v>60.6</v>
      </c>
      <c r="T52" s="378">
        <f t="shared" si="25"/>
        <v>181.8</v>
      </c>
      <c r="U52" s="378">
        <f t="shared" si="25"/>
        <v>60.6</v>
      </c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</row>
    <row r="53" ht="15.75" customHeight="1">
      <c r="A53" s="380" t="s">
        <v>453</v>
      </c>
      <c r="B53" s="378">
        <f t="shared" ref="B53:U53" si="26">B10*($Y$27-47.5)</f>
        <v>0</v>
      </c>
      <c r="C53" s="378">
        <f t="shared" si="26"/>
        <v>0</v>
      </c>
      <c r="D53" s="378">
        <f t="shared" si="26"/>
        <v>45.6</v>
      </c>
      <c r="E53" s="378">
        <f t="shared" si="26"/>
        <v>501.6</v>
      </c>
      <c r="F53" s="378">
        <f t="shared" si="26"/>
        <v>106.4</v>
      </c>
      <c r="G53" s="378">
        <f t="shared" si="26"/>
        <v>45.6</v>
      </c>
      <c r="H53" s="378">
        <f t="shared" si="26"/>
        <v>45.6</v>
      </c>
      <c r="I53" s="378">
        <f t="shared" si="26"/>
        <v>45.6</v>
      </c>
      <c r="J53" s="378">
        <f t="shared" si="26"/>
        <v>45.6</v>
      </c>
      <c r="K53" s="378">
        <f t="shared" si="26"/>
        <v>0</v>
      </c>
      <c r="L53" s="378">
        <f t="shared" si="26"/>
        <v>106.4</v>
      </c>
      <c r="M53" s="378">
        <f t="shared" si="26"/>
        <v>45.6</v>
      </c>
      <c r="N53" s="378">
        <f t="shared" si="26"/>
        <v>45.6</v>
      </c>
      <c r="O53" s="378">
        <f t="shared" si="26"/>
        <v>942.4</v>
      </c>
      <c r="P53" s="378">
        <f t="shared" si="26"/>
        <v>167.2</v>
      </c>
      <c r="Q53" s="378">
        <f t="shared" si="26"/>
        <v>212.8</v>
      </c>
      <c r="R53" s="378">
        <f t="shared" si="26"/>
        <v>197.6</v>
      </c>
      <c r="S53" s="378">
        <f t="shared" si="26"/>
        <v>45.6</v>
      </c>
      <c r="T53" s="378">
        <f t="shared" si="26"/>
        <v>76</v>
      </c>
      <c r="U53" s="378">
        <f t="shared" si="26"/>
        <v>45.6</v>
      </c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</row>
    <row r="54" ht="15.75" customHeight="1">
      <c r="A54" s="380" t="s">
        <v>454</v>
      </c>
      <c r="B54" s="378">
        <f t="shared" ref="B54:U54" si="27">B11*($Y$27-52.5)</f>
        <v>30.6</v>
      </c>
      <c r="C54" s="378">
        <f t="shared" si="27"/>
        <v>0</v>
      </c>
      <c r="D54" s="378">
        <f t="shared" si="27"/>
        <v>81.6</v>
      </c>
      <c r="E54" s="378">
        <f t="shared" si="27"/>
        <v>530.4</v>
      </c>
      <c r="F54" s="378">
        <f t="shared" si="27"/>
        <v>102</v>
      </c>
      <c r="G54" s="378">
        <f t="shared" si="27"/>
        <v>30.6</v>
      </c>
      <c r="H54" s="378">
        <f t="shared" si="27"/>
        <v>30.6</v>
      </c>
      <c r="I54" s="378">
        <f t="shared" si="27"/>
        <v>30.6</v>
      </c>
      <c r="J54" s="378">
        <f t="shared" si="27"/>
        <v>30.6</v>
      </c>
      <c r="K54" s="378">
        <f t="shared" si="27"/>
        <v>0</v>
      </c>
      <c r="L54" s="378">
        <f t="shared" si="27"/>
        <v>91.8</v>
      </c>
      <c r="M54" s="378">
        <f t="shared" si="27"/>
        <v>61.2</v>
      </c>
      <c r="N54" s="378">
        <f t="shared" si="27"/>
        <v>71.4</v>
      </c>
      <c r="O54" s="378">
        <f t="shared" si="27"/>
        <v>714</v>
      </c>
      <c r="P54" s="378">
        <f t="shared" si="27"/>
        <v>214.2</v>
      </c>
      <c r="Q54" s="378">
        <f t="shared" si="27"/>
        <v>183.6</v>
      </c>
      <c r="R54" s="378">
        <f t="shared" si="27"/>
        <v>336.6</v>
      </c>
      <c r="S54" s="378">
        <f t="shared" si="27"/>
        <v>61.2</v>
      </c>
      <c r="T54" s="378">
        <f t="shared" si="27"/>
        <v>214.2</v>
      </c>
      <c r="U54" s="378">
        <f t="shared" si="27"/>
        <v>30.6</v>
      </c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</row>
    <row r="55" ht="15.75" customHeight="1">
      <c r="A55" s="380" t="s">
        <v>455</v>
      </c>
      <c r="B55" s="378">
        <f t="shared" ref="B55:U55" si="28">B12*($Y$27-57.5)</f>
        <v>15.6</v>
      </c>
      <c r="C55" s="378">
        <f t="shared" si="28"/>
        <v>0</v>
      </c>
      <c r="D55" s="378">
        <f t="shared" si="28"/>
        <v>67.6</v>
      </c>
      <c r="E55" s="378">
        <f t="shared" si="28"/>
        <v>431.6</v>
      </c>
      <c r="F55" s="378">
        <f t="shared" si="28"/>
        <v>72.8</v>
      </c>
      <c r="G55" s="378">
        <f t="shared" si="28"/>
        <v>46.8</v>
      </c>
      <c r="H55" s="378">
        <f t="shared" si="28"/>
        <v>46.8</v>
      </c>
      <c r="I55" s="378">
        <f t="shared" si="28"/>
        <v>15.6</v>
      </c>
      <c r="J55" s="378">
        <f t="shared" si="28"/>
        <v>15.6</v>
      </c>
      <c r="K55" s="378">
        <f t="shared" si="28"/>
        <v>0</v>
      </c>
      <c r="L55" s="378">
        <f t="shared" si="28"/>
        <v>46.8</v>
      </c>
      <c r="M55" s="378">
        <f t="shared" si="28"/>
        <v>46.8</v>
      </c>
      <c r="N55" s="378">
        <f t="shared" si="28"/>
        <v>93.6</v>
      </c>
      <c r="O55" s="378">
        <f t="shared" si="28"/>
        <v>478.4</v>
      </c>
      <c r="P55" s="378">
        <f t="shared" si="28"/>
        <v>286</v>
      </c>
      <c r="Q55" s="378">
        <f t="shared" si="28"/>
        <v>171.6</v>
      </c>
      <c r="R55" s="378">
        <f t="shared" si="28"/>
        <v>239.2</v>
      </c>
      <c r="S55" s="378">
        <f t="shared" si="28"/>
        <v>93.6</v>
      </c>
      <c r="T55" s="378">
        <f t="shared" si="28"/>
        <v>166.4</v>
      </c>
      <c r="U55" s="378">
        <f t="shared" si="28"/>
        <v>109.2</v>
      </c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</row>
    <row r="56" ht="15.75" customHeight="1">
      <c r="A56" s="380" t="s">
        <v>456</v>
      </c>
      <c r="B56" s="378">
        <f t="shared" ref="B56:U56" si="29">B13*($Y$27-62.5)</f>
        <v>0.6</v>
      </c>
      <c r="C56" s="378">
        <f t="shared" si="29"/>
        <v>0</v>
      </c>
      <c r="D56" s="378">
        <f t="shared" si="29"/>
        <v>10.2</v>
      </c>
      <c r="E56" s="378">
        <f t="shared" si="29"/>
        <v>44.4</v>
      </c>
      <c r="F56" s="378">
        <f t="shared" si="29"/>
        <v>6.4</v>
      </c>
      <c r="G56" s="378">
        <f t="shared" si="29"/>
        <v>3.4</v>
      </c>
      <c r="H56" s="378">
        <f t="shared" si="29"/>
        <v>3.4</v>
      </c>
      <c r="I56" s="378">
        <f t="shared" si="29"/>
        <v>1.4</v>
      </c>
      <c r="J56" s="378">
        <f t="shared" si="29"/>
        <v>0.6</v>
      </c>
      <c r="K56" s="378">
        <f t="shared" si="29"/>
        <v>0</v>
      </c>
      <c r="L56" s="378">
        <f t="shared" si="29"/>
        <v>2.2</v>
      </c>
      <c r="M56" s="378">
        <f t="shared" si="29"/>
        <v>4.8</v>
      </c>
      <c r="N56" s="378">
        <f t="shared" si="29"/>
        <v>5.2</v>
      </c>
      <c r="O56" s="378">
        <f t="shared" si="29"/>
        <v>35</v>
      </c>
      <c r="P56" s="378">
        <f t="shared" si="29"/>
        <v>20.6</v>
      </c>
      <c r="Q56" s="378">
        <f t="shared" si="29"/>
        <v>10.4</v>
      </c>
      <c r="R56" s="378">
        <f t="shared" si="29"/>
        <v>18.4</v>
      </c>
      <c r="S56" s="378">
        <f t="shared" si="29"/>
        <v>7.8</v>
      </c>
      <c r="T56" s="378">
        <f t="shared" si="29"/>
        <v>14.4</v>
      </c>
      <c r="U56" s="378">
        <f t="shared" si="29"/>
        <v>9</v>
      </c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</row>
    <row r="57" ht="15.75" customHeight="1">
      <c r="A57" s="13" t="s">
        <v>68</v>
      </c>
      <c r="B57" s="501">
        <f t="shared" ref="B57:U57" si="30">SUM(B47:B56)</f>
        <v>228</v>
      </c>
      <c r="C57" s="501">
        <f t="shared" si="30"/>
        <v>0</v>
      </c>
      <c r="D57" s="501">
        <f t="shared" si="30"/>
        <v>280.6</v>
      </c>
      <c r="E57" s="501">
        <f t="shared" si="30"/>
        <v>1977</v>
      </c>
      <c r="F57" s="501">
        <f t="shared" si="30"/>
        <v>650</v>
      </c>
      <c r="G57" s="501">
        <f t="shared" si="30"/>
        <v>534.4</v>
      </c>
      <c r="H57" s="501">
        <f t="shared" si="30"/>
        <v>534.4</v>
      </c>
      <c r="I57" s="501">
        <f t="shared" si="30"/>
        <v>229.4</v>
      </c>
      <c r="J57" s="501">
        <f t="shared" si="30"/>
        <v>243.6</v>
      </c>
      <c r="K57" s="501">
        <f t="shared" si="30"/>
        <v>0</v>
      </c>
      <c r="L57" s="501">
        <f t="shared" si="30"/>
        <v>650</v>
      </c>
      <c r="M57" s="501">
        <f t="shared" si="30"/>
        <v>219</v>
      </c>
      <c r="N57" s="501">
        <f t="shared" si="30"/>
        <v>457.6</v>
      </c>
      <c r="O57" s="501">
        <f t="shared" si="30"/>
        <v>3965.4</v>
      </c>
      <c r="P57" s="501">
        <f t="shared" si="30"/>
        <v>905</v>
      </c>
      <c r="Q57" s="501">
        <f t="shared" si="30"/>
        <v>981.8</v>
      </c>
      <c r="R57" s="501">
        <f t="shared" si="30"/>
        <v>1225.2</v>
      </c>
      <c r="S57" s="501">
        <f t="shared" si="30"/>
        <v>435</v>
      </c>
      <c r="T57" s="501">
        <f t="shared" si="30"/>
        <v>1256.4</v>
      </c>
      <c r="U57" s="501">
        <f t="shared" si="30"/>
        <v>345.6</v>
      </c>
      <c r="V57" s="24">
        <f>SUM(B57:U57)</f>
        <v>15118.4</v>
      </c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</row>
    <row r="58" ht="15.75" customHeight="1">
      <c r="A58" s="13"/>
    </row>
    <row r="59" ht="15.75" customHeight="1">
      <c r="A59" s="218" t="s">
        <v>401</v>
      </c>
      <c r="B59" s="219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</row>
    <row r="60" ht="15.75" customHeight="1">
      <c r="A60" s="13"/>
    </row>
    <row r="61" ht="15.75" customHeight="1">
      <c r="A61" s="13" t="s">
        <v>602</v>
      </c>
    </row>
    <row r="62" ht="15.75" customHeight="1">
      <c r="A62" s="262" t="s">
        <v>468</v>
      </c>
      <c r="B62" s="262" t="s">
        <v>288</v>
      </c>
      <c r="C62" s="262" t="s">
        <v>405</v>
      </c>
      <c r="D62" s="262" t="s">
        <v>469</v>
      </c>
      <c r="E62" s="262" t="s">
        <v>294</v>
      </c>
      <c r="F62" s="262" t="s">
        <v>296</v>
      </c>
      <c r="G62" s="262" t="s">
        <v>298</v>
      </c>
      <c r="H62" s="262" t="s">
        <v>300</v>
      </c>
      <c r="I62" s="262" t="s">
        <v>89</v>
      </c>
      <c r="J62" s="262" t="s">
        <v>303</v>
      </c>
      <c r="K62" s="262" t="s">
        <v>470</v>
      </c>
      <c r="L62" s="262" t="s">
        <v>307</v>
      </c>
      <c r="M62" s="262" t="s">
        <v>406</v>
      </c>
      <c r="N62" s="262" t="s">
        <v>311</v>
      </c>
      <c r="O62" s="262" t="s">
        <v>313</v>
      </c>
      <c r="P62" s="262" t="s">
        <v>315</v>
      </c>
      <c r="Q62" s="262" t="s">
        <v>407</v>
      </c>
      <c r="R62" s="262" t="s">
        <v>319</v>
      </c>
      <c r="S62" s="262" t="s">
        <v>321</v>
      </c>
      <c r="T62" s="262" t="s">
        <v>323</v>
      </c>
      <c r="U62" s="262" t="s">
        <v>408</v>
      </c>
      <c r="W62" s="198"/>
    </row>
    <row r="63" ht="15.75" customHeight="1">
      <c r="A63" s="381" t="s">
        <v>447</v>
      </c>
      <c r="B63" s="47">
        <f>B26*'Pomocná data V. PAF'!C33</f>
        <v>0</v>
      </c>
      <c r="C63" s="47">
        <f>C26*'Pomocná data V. PAF'!D33</f>
        <v>0</v>
      </c>
      <c r="D63" s="47">
        <f>D26*'Pomocná data V. PAF'!E33</f>
        <v>0</v>
      </c>
      <c r="E63" s="47">
        <f>E26*'Pomocná data V. PAF'!F33</f>
        <v>0</v>
      </c>
      <c r="F63" s="47">
        <f>F26*'Pomocná data V. PAF'!G33</f>
        <v>0</v>
      </c>
      <c r="G63" s="47">
        <f>G26*'Pomocná data V. PAF'!H33</f>
        <v>0</v>
      </c>
      <c r="H63" s="47">
        <f>H26*'Pomocná data V. PAF'!I33</f>
        <v>0</v>
      </c>
      <c r="I63" s="47">
        <f>I26*'Pomocná data V. PAF'!J33</f>
        <v>0</v>
      </c>
      <c r="J63" s="47">
        <f>J26*'Pomocná data V. PAF'!K33</f>
        <v>0</v>
      </c>
      <c r="K63" s="47">
        <f>K26*'Pomocná data V. PAF'!L33</f>
        <v>0</v>
      </c>
      <c r="L63" s="47">
        <f>L26*'Pomocná data V. PAF'!M33</f>
        <v>0</v>
      </c>
      <c r="M63" s="47">
        <f>M26*'Pomocná data V. PAF'!N33</f>
        <v>0</v>
      </c>
      <c r="N63" s="47">
        <f>N26*'Pomocná data V. PAF'!O33</f>
        <v>0</v>
      </c>
      <c r="O63" s="47">
        <f>O26*'Pomocná data V. PAF'!P33</f>
        <v>0</v>
      </c>
      <c r="P63" s="47">
        <f>P26*'Pomocná data V. PAF'!Q33</f>
        <v>0</v>
      </c>
      <c r="Q63" s="47">
        <f>Q26*'Pomocná data V. PAF'!R33</f>
        <v>0</v>
      </c>
      <c r="R63" s="47">
        <f>R26*'Pomocná data V. PAF'!S33</f>
        <v>0</v>
      </c>
      <c r="S63" s="47">
        <f>S26*'Pomocná data V. PAF'!T33</f>
        <v>0</v>
      </c>
      <c r="T63" s="47">
        <f>T26*'Pomocná data V. PAF'!U33</f>
        <v>3.936945119</v>
      </c>
      <c r="U63" s="47">
        <f>U26*'Pomocná data V. PAF'!V33</f>
        <v>0</v>
      </c>
    </row>
    <row r="64" ht="15.75" customHeight="1">
      <c r="A64" s="381" t="s">
        <v>448</v>
      </c>
      <c r="B64" s="47">
        <f>B27*'Pomocná data V. PAF'!C34</f>
        <v>0</v>
      </c>
      <c r="C64" s="47">
        <f>C27*'Pomocná data V. PAF'!D34</f>
        <v>0</v>
      </c>
      <c r="D64" s="47">
        <f>D27*'Pomocná data V. PAF'!E34</f>
        <v>0</v>
      </c>
      <c r="E64" s="47">
        <f>E27*'Pomocná data V. PAF'!F34</f>
        <v>0</v>
      </c>
      <c r="F64" s="47">
        <f>F27*'Pomocná data V. PAF'!G34</f>
        <v>3.265793335</v>
      </c>
      <c r="G64" s="47">
        <f>G27*'Pomocná data V. PAF'!H34</f>
        <v>0</v>
      </c>
      <c r="H64" s="47">
        <f>H27*'Pomocná data V. PAF'!I34</f>
        <v>4.954678876</v>
      </c>
      <c r="I64" s="47">
        <f>I27*'Pomocná data V. PAF'!J34</f>
        <v>0</v>
      </c>
      <c r="J64" s="47">
        <f>J27*'Pomocná data V. PAF'!K34</f>
        <v>0</v>
      </c>
      <c r="K64" s="47">
        <f>K27*'Pomocná data V. PAF'!L34</f>
        <v>0</v>
      </c>
      <c r="L64" s="47">
        <f>L27*'Pomocná data V. PAF'!M34</f>
        <v>22.8760553</v>
      </c>
      <c r="M64" s="47">
        <f>M27*'Pomocná data V. PAF'!N34</f>
        <v>0</v>
      </c>
      <c r="N64" s="47">
        <f>N27*'Pomocná data V. PAF'!O34</f>
        <v>0</v>
      </c>
      <c r="O64" s="47">
        <f>O27*'Pomocná data V. PAF'!P34</f>
        <v>0</v>
      </c>
      <c r="P64" s="47">
        <f>P27*'Pomocná data V. PAF'!Q34</f>
        <v>0</v>
      </c>
      <c r="Q64" s="47">
        <f>Q27*'Pomocná data V. PAF'!R34</f>
        <v>0</v>
      </c>
      <c r="R64" s="47">
        <f>R27*'Pomocná data V. PAF'!S34</f>
        <v>0</v>
      </c>
      <c r="S64" s="47">
        <f>S27*'Pomocná data V. PAF'!T34</f>
        <v>0</v>
      </c>
      <c r="T64" s="47">
        <f>T27*'Pomocná data V. PAF'!U34</f>
        <v>7.765015047</v>
      </c>
      <c r="U64" s="47">
        <f>U27*'Pomocná data V. PAF'!V34</f>
        <v>0</v>
      </c>
    </row>
    <row r="65" ht="15.75" customHeight="1">
      <c r="A65" s="381" t="s">
        <v>449</v>
      </c>
      <c r="B65" s="47">
        <f>B28*'Pomocná data V. PAF'!C35</f>
        <v>10.5015398</v>
      </c>
      <c r="C65" s="47">
        <f>C28*'Pomocná data V. PAF'!D35</f>
        <v>0</v>
      </c>
      <c r="D65" s="47">
        <f>D28*'Pomocná data V. PAF'!E35</f>
        <v>0</v>
      </c>
      <c r="E65" s="47">
        <f>E28*'Pomocná data V. PAF'!F35</f>
        <v>0</v>
      </c>
      <c r="F65" s="47">
        <f>F28*'Pomocná data V. PAF'!G35</f>
        <v>4.469345676</v>
      </c>
      <c r="G65" s="47">
        <f>G28*'Pomocná data V. PAF'!H35</f>
        <v>0</v>
      </c>
      <c r="H65" s="47">
        <f>H28*'Pomocná data V. PAF'!I35</f>
        <v>0</v>
      </c>
      <c r="I65" s="47">
        <f>I28*'Pomocná data V. PAF'!J35</f>
        <v>0</v>
      </c>
      <c r="J65" s="47">
        <f>J28*'Pomocná data V. PAF'!K35</f>
        <v>0</v>
      </c>
      <c r="K65" s="47">
        <f>K28*'Pomocná data V. PAF'!L35</f>
        <v>0</v>
      </c>
      <c r="L65" s="47">
        <f>L28*'Pomocná data V. PAF'!M35</f>
        <v>29.7609122</v>
      </c>
      <c r="M65" s="47">
        <f>M28*'Pomocná data V. PAF'!N35</f>
        <v>0</v>
      </c>
      <c r="N65" s="47">
        <f>N28*'Pomocná data V. PAF'!O35</f>
        <v>20.68676772</v>
      </c>
      <c r="O65" s="47">
        <f>O28*'Pomocná data V. PAF'!P35</f>
        <v>1.84414025</v>
      </c>
      <c r="P65" s="47">
        <f>P28*'Pomocná data V. PAF'!Q35</f>
        <v>0</v>
      </c>
      <c r="Q65" s="47">
        <f>Q28*'Pomocná data V. PAF'!R35</f>
        <v>0</v>
      </c>
      <c r="R65" s="47">
        <f>R28*'Pomocná data V. PAF'!S35</f>
        <v>3.923428454</v>
      </c>
      <c r="S65" s="47">
        <f>S28*'Pomocná data V. PAF'!T35</f>
        <v>0</v>
      </c>
      <c r="T65" s="47">
        <f>T28*'Pomocná data V. PAF'!U35</f>
        <v>10.5015398</v>
      </c>
      <c r="U65" s="47">
        <f>U28*'Pomocná data V. PAF'!V35</f>
        <v>0</v>
      </c>
    </row>
    <row r="66" ht="15.75" customHeight="1">
      <c r="A66" s="381" t="s">
        <v>450</v>
      </c>
      <c r="B66" s="47">
        <f>B29*'Pomocná data V. PAF'!C36</f>
        <v>0</v>
      </c>
      <c r="C66" s="47">
        <f>C29*'Pomocná data V. PAF'!D36</f>
        <v>0</v>
      </c>
      <c r="D66" s="47">
        <f>D29*'Pomocná data V. PAF'!E36</f>
        <v>0</v>
      </c>
      <c r="E66" s="47">
        <f>E29*'Pomocná data V. PAF'!F36</f>
        <v>32.77163095</v>
      </c>
      <c r="F66" s="47">
        <f>F29*'Pomocná data V. PAF'!G36</f>
        <v>0</v>
      </c>
      <c r="G66" s="47">
        <f>G29*'Pomocná data V. PAF'!H36</f>
        <v>0</v>
      </c>
      <c r="H66" s="47">
        <f>H29*'Pomocná data V. PAF'!I36</f>
        <v>9.101364136</v>
      </c>
      <c r="I66" s="47">
        <f>I29*'Pomocná data V. PAF'!J36</f>
        <v>0</v>
      </c>
      <c r="J66" s="47">
        <f>J29*'Pomocná data V. PAF'!K36</f>
        <v>22.32823191</v>
      </c>
      <c r="K66" s="47">
        <f>K29*'Pomocná data V. PAF'!L36</f>
        <v>0</v>
      </c>
      <c r="L66" s="47">
        <f>L29*'Pomocná data V. PAF'!M36</f>
        <v>0</v>
      </c>
      <c r="M66" s="47">
        <f>M29*'Pomocná data V. PAF'!N36</f>
        <v>0</v>
      </c>
      <c r="N66" s="47">
        <f>N29*'Pomocná data V. PAF'!O36</f>
        <v>0</v>
      </c>
      <c r="O66" s="47">
        <f>O29*'Pomocná data V. PAF'!P36</f>
        <v>6.725122608</v>
      </c>
      <c r="P66" s="47">
        <f>P29*'Pomocná data V. PAF'!Q36</f>
        <v>0</v>
      </c>
      <c r="Q66" s="47">
        <f>Q29*'Pomocná data V. PAF'!R36</f>
        <v>12.01758759</v>
      </c>
      <c r="R66" s="47">
        <f>R29*'Pomocná data V. PAF'!S36</f>
        <v>5.333109304</v>
      </c>
      <c r="S66" s="47">
        <f>S29*'Pomocná data V. PAF'!T36</f>
        <v>14.65926508</v>
      </c>
      <c r="T66" s="47">
        <f>T29*'Pomocná data V. PAF'!U36</f>
        <v>14.00789942</v>
      </c>
      <c r="U66" s="47">
        <f>U29*'Pomocná data V. PAF'!V36</f>
        <v>23.76405423</v>
      </c>
    </row>
    <row r="67" ht="15.75" customHeight="1">
      <c r="A67" s="381" t="s">
        <v>451</v>
      </c>
      <c r="B67" s="47">
        <f>B30*'Pomocná data V. PAF'!C37</f>
        <v>19.3685734</v>
      </c>
      <c r="C67" s="47">
        <f>C30*'Pomocná data V. PAF'!D37</f>
        <v>0</v>
      </c>
      <c r="D67" s="47">
        <f>D30*'Pomocná data V. PAF'!E37</f>
        <v>99.33148121</v>
      </c>
      <c r="E67" s="47">
        <f>E30*'Pomocná data V. PAF'!F37</f>
        <v>98.92079382</v>
      </c>
      <c r="F67" s="47">
        <f>F30*'Pomocná data V. PAF'!G37</f>
        <v>8.638527054</v>
      </c>
      <c r="G67" s="47">
        <f>G30*'Pomocná data V. PAF'!H37</f>
        <v>0</v>
      </c>
      <c r="H67" s="47">
        <f>H30*'Pomocná data V. PAF'!I37</f>
        <v>12.81503587</v>
      </c>
      <c r="I67" s="47">
        <f>I30*'Pomocná data V. PAF'!J37</f>
        <v>142.5</v>
      </c>
      <c r="J67" s="47">
        <f>J30*'Pomocná data V. PAF'!K37</f>
        <v>0</v>
      </c>
      <c r="K67" s="47">
        <f>K30*'Pomocná data V. PAF'!L37</f>
        <v>0</v>
      </c>
      <c r="L67" s="47">
        <f>L30*'Pomocná data V. PAF'!M37</f>
        <v>47.89000343</v>
      </c>
      <c r="M67" s="47">
        <f>M30*'Pomocná data V. PAF'!N37</f>
        <v>0</v>
      </c>
      <c r="N67" s="47">
        <f>N30*'Pomocná data V. PAF'!O37</f>
        <v>35.41618656</v>
      </c>
      <c r="O67" s="47">
        <f>O30*'Pomocná data V. PAF'!P37</f>
        <v>23.0560879</v>
      </c>
      <c r="P67" s="47">
        <f>P30*'Pomocná data V. PAF'!Q37</f>
        <v>15.38135593</v>
      </c>
      <c r="Q67" s="47">
        <f>Q30*'Pomocná data V. PAF'!R37</f>
        <v>33.47762775</v>
      </c>
      <c r="R67" s="47">
        <f>R30*'Pomocná data V. PAF'!S37</f>
        <v>7.616425822</v>
      </c>
      <c r="S67" s="47">
        <f>S30*'Pomocná data V. PAF'!T37</f>
        <v>20.22088899</v>
      </c>
      <c r="T67" s="47">
        <f>T30*'Pomocná data V. PAF'!U37</f>
        <v>38.73714681</v>
      </c>
      <c r="U67" s="47">
        <f>U30*'Pomocná data V. PAF'!V37</f>
        <v>0</v>
      </c>
    </row>
    <row r="68" ht="15.75" customHeight="1">
      <c r="A68" s="381" t="s">
        <v>452</v>
      </c>
      <c r="B68" s="47">
        <f>B31*'Pomocná data V. PAF'!C38</f>
        <v>0</v>
      </c>
      <c r="C68" s="47">
        <f>C31*'Pomocná data V. PAF'!D38</f>
        <v>0</v>
      </c>
      <c r="D68" s="47">
        <f>D31*'Pomocná data V. PAF'!E38</f>
        <v>0</v>
      </c>
      <c r="E68" s="47">
        <f>E31*'Pomocná data V. PAF'!F38</f>
        <v>133.919095</v>
      </c>
      <c r="F68" s="47">
        <f>F31*'Pomocná data V. PAF'!G38</f>
        <v>8.345862413</v>
      </c>
      <c r="G68" s="47">
        <f>G31*'Pomocná data V. PAF'!H38</f>
        <v>0</v>
      </c>
      <c r="H68" s="47">
        <f>H31*'Pomocná data V. PAF'!I38</f>
        <v>24.70221473</v>
      </c>
      <c r="I68" s="47">
        <f>I31*'Pomocná data V. PAF'!J38</f>
        <v>127.8</v>
      </c>
      <c r="J68" s="47">
        <f>J31*'Pomocná data V. PAF'!K38</f>
        <v>28.59180252</v>
      </c>
      <c r="K68" s="47">
        <f>K31*'Pomocná data V. PAF'!L38</f>
        <v>0</v>
      </c>
      <c r="L68" s="47">
        <f>L31*'Pomocná data V. PAF'!M38</f>
        <v>75.40458221</v>
      </c>
      <c r="M68" s="47">
        <f>M31*'Pomocná data V. PAF'!N38</f>
        <v>41.72200445</v>
      </c>
      <c r="N68" s="47">
        <f>N31*'Pomocná data V. PAF'!O38</f>
        <v>33.69563595</v>
      </c>
      <c r="O68" s="47">
        <f>O31*'Pomocná data V. PAF'!P38</f>
        <v>56.43638721</v>
      </c>
      <c r="P68" s="47">
        <f>P31*'Pomocná data V. PAF'!Q38</f>
        <v>34.53952255</v>
      </c>
      <c r="Q68" s="47">
        <f>Q31*'Pomocná data V. PAF'!R38</f>
        <v>42.92394022</v>
      </c>
      <c r="R68" s="47">
        <f>R31*'Pomocná data V. PAF'!S38</f>
        <v>19.63395112</v>
      </c>
      <c r="S68" s="47">
        <f>S31*'Pomocná data V. PAF'!T38</f>
        <v>19.40611801</v>
      </c>
      <c r="T68" s="47">
        <f>T31*'Pomocná data V. PAF'!U38</f>
        <v>55.79169444</v>
      </c>
      <c r="U68" s="47">
        <f>U31*'Pomocná data V. PAF'!V38</f>
        <v>30.2452304</v>
      </c>
    </row>
    <row r="69" ht="15.75" customHeight="1">
      <c r="A69" s="381" t="s">
        <v>453</v>
      </c>
      <c r="B69" s="47">
        <f>B32*'Pomocná data V. PAF'!C39</f>
        <v>0</v>
      </c>
      <c r="C69" s="47">
        <f>C32*'Pomocná data V. PAF'!D39</f>
        <v>0</v>
      </c>
      <c r="D69" s="47">
        <f>D32*'Pomocná data V. PAF'!E39</f>
        <v>82.22569928</v>
      </c>
      <c r="E69" s="47">
        <f>E32*'Pomocná data V. PAF'!F39</f>
        <v>407.6544683</v>
      </c>
      <c r="F69" s="47">
        <f>F32*'Pomocná data V. PAF'!G39</f>
        <v>18.2251676</v>
      </c>
      <c r="G69" s="47">
        <f>G32*'Pomocná data V. PAF'!H39</f>
        <v>0</v>
      </c>
      <c r="H69" s="47">
        <f>H32*'Pomocná data V. PAF'!I39</f>
        <v>11.53807052</v>
      </c>
      <c r="I69" s="47">
        <f>I32*'Pomocná data V. PAF'!J39</f>
        <v>113.4</v>
      </c>
      <c r="J69" s="47">
        <f>J32*'Pomocná data V. PAF'!K39</f>
        <v>26.51276951</v>
      </c>
      <c r="K69" s="47">
        <f>K32*'Pomocná data V. PAF'!L39</f>
        <v>0</v>
      </c>
      <c r="L69" s="47">
        <f>L32*'Pomocná data V. PAF'!M39</f>
        <v>97.15584372</v>
      </c>
      <c r="M69" s="47">
        <f>M32*'Pomocná data V. PAF'!N39</f>
        <v>38.45898136</v>
      </c>
      <c r="N69" s="47">
        <f>N32*'Pomocná data V. PAF'!O39</f>
        <v>31.17325528</v>
      </c>
      <c r="O69" s="47">
        <f>O32*'Pomocná data V. PAF'!P39</f>
        <v>68.37432362</v>
      </c>
      <c r="P69" s="47">
        <f>P32*'Pomocná data V. PAF'!Q39</f>
        <v>50.64675507</v>
      </c>
      <c r="Q69" s="47">
        <f>Q32*'Pomocná data V. PAF'!R39</f>
        <v>70.05218251</v>
      </c>
      <c r="R69" s="47">
        <f>R32*'Pomocná data V. PAF'!S39</f>
        <v>29.87309795</v>
      </c>
      <c r="S69" s="47">
        <f>S32*'Pomocná data V. PAF'!T39</f>
        <v>18.07036739</v>
      </c>
      <c r="T69" s="47">
        <f>T32*'Pomocná data V. PAF'!U39</f>
        <v>28.87257585</v>
      </c>
      <c r="U69" s="47">
        <f>U32*'Pomocná data V. PAF'!V39</f>
        <v>28.02493444</v>
      </c>
    </row>
    <row r="70" ht="15.75" customHeight="1">
      <c r="A70" s="381" t="s">
        <v>454</v>
      </c>
      <c r="B70" s="47">
        <f>B33*'Pomocná data V. PAF'!C40</f>
        <v>17.03753715</v>
      </c>
      <c r="C70" s="47">
        <f>C33*'Pomocná data V. PAF'!D40</f>
        <v>0</v>
      </c>
      <c r="D70" s="47">
        <f>D33*'Pomocná data V. PAF'!E40</f>
        <v>198.6658368</v>
      </c>
      <c r="E70" s="47">
        <f>E33*'Pomocná data V. PAF'!F40</f>
        <v>615.7531497</v>
      </c>
      <c r="F70" s="47">
        <f>F33*'Pomocná data V. PAF'!G40</f>
        <v>25.93100398</v>
      </c>
      <c r="G70" s="47">
        <f>G33*'Pomocná data V. PAF'!H40</f>
        <v>0</v>
      </c>
      <c r="H70" s="47">
        <f>H33*'Pomocná data V. PAF'!I40</f>
        <v>11.434713</v>
      </c>
      <c r="I70" s="47">
        <f>I33*'Pomocná data V. PAF'!J40</f>
        <v>99</v>
      </c>
      <c r="J70" s="47">
        <f>J33*'Pomocná data V. PAF'!K40</f>
        <v>25.7632307</v>
      </c>
      <c r="K70" s="47">
        <f>K33*'Pomocná data V. PAF'!L40</f>
        <v>0</v>
      </c>
      <c r="L70" s="47">
        <f>L33*'Pomocná data V. PAF'!M40</f>
        <v>119.0400679</v>
      </c>
      <c r="M70" s="47">
        <f>M33*'Pomocná data V. PAF'!N40</f>
        <v>73.59922846</v>
      </c>
      <c r="N70" s="47">
        <f>N33*'Pomocná data V. PAF'!O40</f>
        <v>70.25514592</v>
      </c>
      <c r="O70" s="47">
        <f>O33*'Pomocná data V. PAF'!P40</f>
        <v>77.35015392</v>
      </c>
      <c r="P70" s="47">
        <f>P33*'Pomocná data V. PAF'!Q40</f>
        <v>95.53470127</v>
      </c>
      <c r="Q70" s="47">
        <f>Q33*'Pomocná data V. PAF'!R40</f>
        <v>88.85070882</v>
      </c>
      <c r="R70" s="47">
        <f>R33*'Pomocná data V. PAF'!S40</f>
        <v>75.61852562</v>
      </c>
      <c r="S70" s="47">
        <f>S33*'Pomocná data V. PAF'!T40</f>
        <v>35.50912985</v>
      </c>
      <c r="T70" s="47">
        <f>T33*'Pomocná data V. PAF'!U40</f>
        <v>119.2627601</v>
      </c>
      <c r="U70" s="47">
        <f>U33*'Pomocná data V. PAF'!V40</f>
        <v>27.17916035</v>
      </c>
    </row>
    <row r="71" ht="15.75" customHeight="1">
      <c r="A71" s="381" t="s">
        <v>455</v>
      </c>
      <c r="B71" s="47">
        <f>B34*'Pomocná data V. PAF'!C41</f>
        <v>16.50361865</v>
      </c>
      <c r="C71" s="47">
        <f>C34*'Pomocná data V. PAF'!D41</f>
        <v>0</v>
      </c>
      <c r="D71" s="47">
        <f>D34*'Pomocná data V. PAF'!E41</f>
        <v>287.4150863</v>
      </c>
      <c r="E71" s="47">
        <f>E34*'Pomocná data V. PAF'!F41</f>
        <v>925.8179257</v>
      </c>
      <c r="F71" s="47">
        <f>F34*'Pomocná data V. PAF'!G41</f>
        <v>35.67165744</v>
      </c>
      <c r="G71" s="47">
        <f>G34*'Pomocná data V. PAF'!H41</f>
        <v>0</v>
      </c>
      <c r="H71" s="47">
        <f>H34*'Pomocná data V. PAF'!I41</f>
        <v>33.516797</v>
      </c>
      <c r="I71" s="47">
        <f>I34*'Pomocná data V. PAF'!J41</f>
        <v>85.2</v>
      </c>
      <c r="J71" s="47">
        <f>J34*'Pomocná data V. PAF'!K41</f>
        <v>24.62668638</v>
      </c>
      <c r="K71" s="47">
        <f>K34*'Pomocná data V. PAF'!L41</f>
        <v>0</v>
      </c>
      <c r="L71" s="47">
        <f>L34*'Pomocná data V. PAF'!M41</f>
        <v>111.4440679</v>
      </c>
      <c r="M71" s="47">
        <f>M34*'Pomocná data V. PAF'!N41</f>
        <v>103.7968927</v>
      </c>
      <c r="N71" s="47">
        <f>N34*'Pomocná data V. PAF'!O41</f>
        <v>171.5593069</v>
      </c>
      <c r="O71" s="47">
        <f>O34*'Pomocná data V. PAF'!P41</f>
        <v>100.5889312</v>
      </c>
      <c r="P71" s="47">
        <f>P34*'Pomocná data V. PAF'!Q41</f>
        <v>243.6340311</v>
      </c>
      <c r="Q71" s="47">
        <f>Q34*'Pomocná data V. PAF'!R41</f>
        <v>158.3289143</v>
      </c>
      <c r="R71" s="47">
        <f>R34*'Pomocná data V. PAF'!S41</f>
        <v>103.7191928</v>
      </c>
      <c r="S71" s="47">
        <f>S34*'Pomocná data V. PAF'!T41</f>
        <v>103.0758383</v>
      </c>
      <c r="T71" s="47">
        <f>T34*'Pomocná data V. PAF'!U41</f>
        <v>176.038599</v>
      </c>
      <c r="U71" s="47">
        <f>U34*'Pomocná data V. PAF'!V41</f>
        <v>181.4726332</v>
      </c>
    </row>
    <row r="72" ht="15.75" customHeight="1">
      <c r="A72" s="381" t="s">
        <v>456</v>
      </c>
      <c r="B72" s="47">
        <f>B35*'Pomocná data V. PAF'!C42</f>
        <v>13.88860866</v>
      </c>
      <c r="C72" s="47">
        <f>C35*'Pomocná data V. PAF'!D42</f>
        <v>0</v>
      </c>
      <c r="D72" s="47">
        <f>D35*'Pomocná data V. PAF'!E42</f>
        <v>948.8901645</v>
      </c>
      <c r="E72" s="47">
        <f>E35*'Pomocná data V. PAF'!F42</f>
        <v>2083.915132</v>
      </c>
      <c r="F72" s="47">
        <f>F35*'Pomocná data V. PAF'!G42</f>
        <v>68.61590446</v>
      </c>
      <c r="G72" s="47">
        <f>G35*'Pomocná data V. PAF'!H42</f>
        <v>0</v>
      </c>
      <c r="H72" s="47">
        <f>H35*'Pomocná data V. PAF'!I42</f>
        <v>53.27806972</v>
      </c>
      <c r="I72" s="47">
        <f>I35*'Pomocná data V. PAF'!J42</f>
        <v>167.3</v>
      </c>
      <c r="J72" s="47">
        <f>J35*'Pomocná data V. PAF'!K42</f>
        <v>20.72457058</v>
      </c>
      <c r="K72" s="47">
        <f>K35*'Pomocná data V. PAF'!L42</f>
        <v>0</v>
      </c>
      <c r="L72" s="47">
        <f>L35*'Pomocná data V. PAF'!M42</f>
        <v>114.6269384</v>
      </c>
      <c r="M72" s="47">
        <f>M35*'Pomocná data V. PAF'!N42</f>
        <v>232.9338718</v>
      </c>
      <c r="N72" s="47">
        <f>N35*'Pomocná data V. PAF'!O42</f>
        <v>208.5425534</v>
      </c>
      <c r="O72" s="47">
        <f>O35*'Pomocná data V. PAF'!P42</f>
        <v>161.0200569</v>
      </c>
      <c r="P72" s="47">
        <f>P35*'Pomocná data V. PAF'!Q42</f>
        <v>383.9653612</v>
      </c>
      <c r="Q72" s="47">
        <f>Q35*'Pomocná data V. PAF'!R42</f>
        <v>209.9564391</v>
      </c>
      <c r="R72" s="47">
        <f>R35*'Pomocná data V. PAF'!S42</f>
        <v>174.5696273</v>
      </c>
      <c r="S72" s="47">
        <f>S35*'Pomocná data V. PAF'!T42</f>
        <v>187.9440314</v>
      </c>
      <c r="T72" s="47">
        <f>T35*'Pomocná data V. PAF'!U42</f>
        <v>333.3266078</v>
      </c>
      <c r="U72" s="47">
        <f>U35*'Pomocná data V. PAF'!V42</f>
        <v>327.2532142</v>
      </c>
    </row>
    <row r="73" ht="15.75" customHeight="1">
      <c r="A73" s="381" t="s">
        <v>457</v>
      </c>
      <c r="B73" s="47">
        <f>B36*'Pomocná data V. PAF'!C43</f>
        <v>23.842566</v>
      </c>
      <c r="C73" s="47">
        <f>C36*'Pomocná data V. PAF'!D43</f>
        <v>0</v>
      </c>
      <c r="D73" s="47">
        <f>D36*'Pomocná data V. PAF'!E43</f>
        <v>1736.894046</v>
      </c>
      <c r="E73" s="47">
        <f>E36*'Pomocná data V. PAF'!F43</f>
        <v>3454.982672</v>
      </c>
      <c r="F73" s="47">
        <f>F36*'Pomocná data V. PAF'!G43</f>
        <v>66.90916593</v>
      </c>
      <c r="G73" s="47">
        <f>G36*'Pomocná data V. PAF'!H43</f>
        <v>0</v>
      </c>
      <c r="H73" s="47">
        <f>H36*'Pomocná data V. PAF'!I43</f>
        <v>64.02796026</v>
      </c>
      <c r="I73" s="47">
        <f>I36*'Pomocná data V. PAF'!J43</f>
        <v>157.6</v>
      </c>
      <c r="J73" s="47">
        <f>J36*'Pomocná data V. PAF'!K43</f>
        <v>51.47937596</v>
      </c>
      <c r="K73" s="47">
        <f>K36*'Pomocná data V. PAF'!L43</f>
        <v>0</v>
      </c>
      <c r="L73" s="47">
        <f>L36*'Pomocná data V. PAF'!M43</f>
        <v>404.0471555</v>
      </c>
      <c r="M73" s="47">
        <f>M36*'Pomocná data V. PAF'!N43</f>
        <v>279.2465366</v>
      </c>
      <c r="N73" s="47">
        <f>N36*'Pomocná data V. PAF'!O43</f>
        <v>306.7590197</v>
      </c>
      <c r="O73" s="47">
        <f>O36*'Pomocná data V. PAF'!P43</f>
        <v>118.0568436</v>
      </c>
      <c r="P73" s="47">
        <f>P36*'Pomocná data V. PAF'!Q43</f>
        <v>447.547071</v>
      </c>
      <c r="Q73" s="47">
        <f>Q36*'Pomocná data V. PAF'!R43</f>
        <v>307.9258242</v>
      </c>
      <c r="R73" s="47">
        <f>R36*'Pomocná data V. PAF'!S43</f>
        <v>151.2610508</v>
      </c>
      <c r="S73" s="47">
        <f>S36*'Pomocná data V. PAF'!T43</f>
        <v>216.5061914</v>
      </c>
      <c r="T73" s="47">
        <f>T36*'Pomocná data V. PAF'!U43</f>
        <v>500.6938861</v>
      </c>
      <c r="U73" s="47">
        <f>U36*'Pomocná data V. PAF'!V43</f>
        <v>423.5734021</v>
      </c>
    </row>
    <row r="74" ht="15.75" customHeight="1">
      <c r="A74" s="381" t="s">
        <v>458</v>
      </c>
      <c r="B74" s="47">
        <f>B37*'Pomocná data V. PAF'!C44</f>
        <v>30.57139985</v>
      </c>
      <c r="C74" s="47">
        <f>C37*'Pomocná data V. PAF'!D44</f>
        <v>0</v>
      </c>
      <c r="D74" s="47">
        <f>D37*'Pomocná data V. PAF'!E44</f>
        <v>2611.014319</v>
      </c>
      <c r="E74" s="47">
        <f>E37*'Pomocná data V. PAF'!F44</f>
        <v>4434.138153</v>
      </c>
      <c r="F74" s="47">
        <f>F37*'Pomocná data V. PAF'!G44</f>
        <v>86.68354743</v>
      </c>
      <c r="G74" s="47">
        <f>G37*'Pomocná data V. PAF'!H44</f>
        <v>0</v>
      </c>
      <c r="H74" s="47">
        <f>H37*'Pomocná data V. PAF'!I44</f>
        <v>39.17313413</v>
      </c>
      <c r="I74" s="47">
        <f>I37*'Pomocná data V. PAF'!J44</f>
        <v>219.8</v>
      </c>
      <c r="J74" s="47">
        <f>J37*'Pomocná data V. PAF'!K44</f>
        <v>65.89081187</v>
      </c>
      <c r="K74" s="47">
        <f>K37*'Pomocná data V. PAF'!L44</f>
        <v>0</v>
      </c>
      <c r="L74" s="47">
        <f>L37*'Pomocná data V. PAF'!M44</f>
        <v>337.5927966</v>
      </c>
      <c r="M74" s="47">
        <f>M37*'Pomocná data V. PAF'!N44</f>
        <v>251.0755173</v>
      </c>
      <c r="N74" s="47">
        <f>N37*'Pomocná data V. PAF'!O44</f>
        <v>318.0534843</v>
      </c>
      <c r="O74" s="47">
        <f>O37*'Pomocná data V. PAF'!P44</f>
        <v>121.7673313</v>
      </c>
      <c r="P74" s="47">
        <f>P37*'Pomocná data V. PAF'!Q44</f>
        <v>441.799913</v>
      </c>
      <c r="Q74" s="47">
        <f>Q37*'Pomocná data V. PAF'!R44</f>
        <v>324.9976888</v>
      </c>
      <c r="R74" s="47">
        <f>R37*'Pomocná data V. PAF'!S44</f>
        <v>120.4426728</v>
      </c>
      <c r="S74" s="47">
        <f>S37*'Pomocná data V. PAF'!T44</f>
        <v>162.0257914</v>
      </c>
      <c r="T74" s="47">
        <f>T37*'Pomocná data V. PAF'!U44</f>
        <v>613.9756136</v>
      </c>
      <c r="U74" s="47">
        <f>U37*'Pomocná data V. PAF'!V44</f>
        <v>683.5328643</v>
      </c>
    </row>
    <row r="75" ht="15.75" customHeight="1">
      <c r="A75" s="381" t="s">
        <v>459</v>
      </c>
      <c r="B75" s="47">
        <f>SUM(B38:B42)*'Pomocná data V. PAF'!C45</f>
        <v>63.97338653</v>
      </c>
      <c r="C75" s="47">
        <f>SUM(C38:C42)*'Pomocná data V. PAF'!D45</f>
        <v>0</v>
      </c>
      <c r="D75" s="47">
        <f>SUM(D38:D42)*'Pomocná data V. PAF'!E45</f>
        <v>6749.889673</v>
      </c>
      <c r="E75" s="47">
        <f>SUM(E38:E42)*'Pomocná data V. PAF'!F45</f>
        <v>15404.44747</v>
      </c>
      <c r="F75" s="47">
        <f>SUM(F38:F42)*'Pomocná data V. PAF'!G45</f>
        <v>116.7115177</v>
      </c>
      <c r="G75" s="47">
        <f>SUM(G38:G42)*'Pomocná data V. PAF'!H45</f>
        <v>0</v>
      </c>
      <c r="H75" s="47">
        <f>SUM(H38:H42)*'Pomocná data V. PAF'!I45</f>
        <v>49.57884725</v>
      </c>
      <c r="I75" s="47">
        <f>SUM(I38:I42)*'Pomocná data V. PAF'!J45</f>
        <v>115.5</v>
      </c>
      <c r="J75" s="47">
        <f>SUM(J38:J42)*'Pomocná data V. PAF'!K45</f>
        <v>121.9305358</v>
      </c>
      <c r="K75" s="47">
        <f>SUM(K38:K42)*'Pomocná data V. PAF'!L45</f>
        <v>2.957862473</v>
      </c>
      <c r="L75" s="47">
        <f>SUM(L38:L42)*'Pomocná data V. PAF'!M45</f>
        <v>773.5396264</v>
      </c>
      <c r="M75" s="47">
        <f>SUM(M38:M42)*'Pomocná data V. PAF'!N45</f>
        <v>300.8621798</v>
      </c>
      <c r="N75" s="47">
        <f>SUM(N38:N42)*'Pomocná data V. PAF'!O45</f>
        <v>449.2158301</v>
      </c>
      <c r="O75" s="47">
        <f>SUM(O38:O42)*'Pomocná data V. PAF'!P45</f>
        <v>145.4901827</v>
      </c>
      <c r="P75" s="47">
        <f>SUM(P38:P42)*'Pomocná data V. PAF'!Q45</f>
        <v>482.9582548</v>
      </c>
      <c r="Q75" s="47">
        <f>SUM(Q38:Q42)*'Pomocná data V. PAF'!R45</f>
        <v>433.6005238</v>
      </c>
      <c r="R75" s="47">
        <f>SUM(R38:R42)*'Pomocná data V. PAF'!S45</f>
        <v>96.91967275</v>
      </c>
      <c r="S75" s="47">
        <f>SUM(S38:S42)*'Pomocná data V. PAF'!T45</f>
        <v>278.6252728</v>
      </c>
      <c r="T75" s="47">
        <f>SUM(T38:T42)*'Pomocná data V. PAF'!U45</f>
        <v>1829.25479</v>
      </c>
      <c r="U75" s="47">
        <f>SUM(U38:U42)*'Pomocná data V. PAF'!V45</f>
        <v>2205.424319</v>
      </c>
    </row>
    <row r="76" ht="15.75" customHeight="1">
      <c r="A76" s="13" t="s">
        <v>68</v>
      </c>
      <c r="B76" s="384">
        <f t="shared" ref="B76:U76" si="31">SUM(B63:B75)</f>
        <v>195.6872301</v>
      </c>
      <c r="C76" s="384">
        <f t="shared" si="31"/>
        <v>0</v>
      </c>
      <c r="D76" s="384">
        <f t="shared" si="31"/>
        <v>12714.32631</v>
      </c>
      <c r="E76" s="384">
        <f t="shared" si="31"/>
        <v>27592.32049</v>
      </c>
      <c r="F76" s="384">
        <f t="shared" si="31"/>
        <v>443.467493</v>
      </c>
      <c r="G76" s="384">
        <f t="shared" si="31"/>
        <v>0</v>
      </c>
      <c r="H76" s="384">
        <f t="shared" si="31"/>
        <v>314.1208855</v>
      </c>
      <c r="I76" s="384">
        <f t="shared" si="31"/>
        <v>1228.1</v>
      </c>
      <c r="J76" s="384">
        <f t="shared" si="31"/>
        <v>387.8480152</v>
      </c>
      <c r="K76" s="384">
        <f t="shared" si="31"/>
        <v>2.957862473</v>
      </c>
      <c r="L76" s="384">
        <f t="shared" si="31"/>
        <v>2133.37805</v>
      </c>
      <c r="M76" s="384">
        <f t="shared" si="31"/>
        <v>1321.695212</v>
      </c>
      <c r="N76" s="384">
        <f t="shared" si="31"/>
        <v>1645.357186</v>
      </c>
      <c r="O76" s="384">
        <f t="shared" si="31"/>
        <v>880.7095612</v>
      </c>
      <c r="P76" s="384">
        <f t="shared" si="31"/>
        <v>2196.006966</v>
      </c>
      <c r="Q76" s="384">
        <f t="shared" si="31"/>
        <v>1682.131437</v>
      </c>
      <c r="R76" s="384">
        <f t="shared" si="31"/>
        <v>788.9107547</v>
      </c>
      <c r="S76" s="384">
        <f t="shared" si="31"/>
        <v>1056.042895</v>
      </c>
      <c r="T76" s="384">
        <f t="shared" si="31"/>
        <v>3732.165073</v>
      </c>
      <c r="U76" s="384">
        <f t="shared" si="31"/>
        <v>3930.469812</v>
      </c>
      <c r="V76" s="502">
        <f>SUM(B76:U76)</f>
        <v>62245.69523</v>
      </c>
      <c r="W76" s="13" t="s">
        <v>603</v>
      </c>
    </row>
    <row r="77" ht="15.75" customHeight="1"/>
    <row r="78" ht="15.75" customHeight="1">
      <c r="A78" s="499" t="s">
        <v>604</v>
      </c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</row>
    <row r="79" ht="15.75" customHeight="1">
      <c r="A79" s="210" t="s">
        <v>468</v>
      </c>
      <c r="B79" s="500" t="s">
        <v>288</v>
      </c>
      <c r="C79" s="500" t="s">
        <v>405</v>
      </c>
      <c r="D79" s="500" t="s">
        <v>469</v>
      </c>
      <c r="E79" s="500" t="s">
        <v>294</v>
      </c>
      <c r="F79" s="500" t="s">
        <v>296</v>
      </c>
      <c r="G79" s="500" t="s">
        <v>298</v>
      </c>
      <c r="H79" s="500" t="s">
        <v>300</v>
      </c>
      <c r="I79" s="500" t="s">
        <v>89</v>
      </c>
      <c r="J79" s="500" t="s">
        <v>303</v>
      </c>
      <c r="K79" s="500" t="s">
        <v>470</v>
      </c>
      <c r="L79" s="500" t="s">
        <v>307</v>
      </c>
      <c r="M79" s="500" t="s">
        <v>406</v>
      </c>
      <c r="N79" s="500" t="s">
        <v>311</v>
      </c>
      <c r="O79" s="500" t="s">
        <v>313</v>
      </c>
      <c r="P79" s="500" t="s">
        <v>315</v>
      </c>
      <c r="Q79" s="500" t="s">
        <v>407</v>
      </c>
      <c r="R79" s="500" t="s">
        <v>319</v>
      </c>
      <c r="S79" s="500" t="s">
        <v>321</v>
      </c>
      <c r="T79" s="500" t="s">
        <v>323</v>
      </c>
      <c r="U79" s="478" t="s">
        <v>408</v>
      </c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</row>
    <row r="80" ht="15.75" customHeight="1">
      <c r="A80" s="380" t="s">
        <v>447</v>
      </c>
      <c r="B80" s="378">
        <f>B47*'Pomocná data V. PAF'!C33</f>
        <v>0</v>
      </c>
      <c r="C80" s="378">
        <f>C47*'Pomocná data V. PAF'!D33</f>
        <v>0</v>
      </c>
      <c r="D80" s="378">
        <f>D47*'Pomocná data V. PAF'!E33</f>
        <v>0</v>
      </c>
      <c r="E80" s="378">
        <f>E47*'Pomocná data V. PAF'!F33</f>
        <v>0</v>
      </c>
      <c r="F80" s="378">
        <f>F47*'Pomocná data V. PAF'!G33</f>
        <v>0</v>
      </c>
      <c r="G80" s="378">
        <f>G47*'Pomocná data V. PAF'!H33</f>
        <v>0</v>
      </c>
      <c r="H80" s="378">
        <f>H47*'Pomocná data V. PAF'!I33</f>
        <v>0</v>
      </c>
      <c r="I80" s="378">
        <f>I47*'Pomocná data V. PAF'!J33</f>
        <v>0</v>
      </c>
      <c r="J80" s="378">
        <f>J47*'Pomocná data V. PAF'!K33</f>
        <v>0</v>
      </c>
      <c r="K80" s="378">
        <f>K47*'Pomocná data V. PAF'!L33</f>
        <v>0</v>
      </c>
      <c r="L80" s="378">
        <f>L47*'Pomocná data V. PAF'!M33</f>
        <v>0</v>
      </c>
      <c r="M80" s="378">
        <f>M47*'Pomocná data V. PAF'!N33</f>
        <v>0</v>
      </c>
      <c r="N80" s="378">
        <f>N47*'Pomocná data V. PAF'!O33</f>
        <v>0</v>
      </c>
      <c r="O80" s="378">
        <f>O47*'Pomocná data V. PAF'!P33</f>
        <v>0</v>
      </c>
      <c r="P80" s="378">
        <f>P47*'Pomocná data V. PAF'!Q33</f>
        <v>0</v>
      </c>
      <c r="Q80" s="378">
        <f>Q47*'Pomocná data V. PAF'!R33</f>
        <v>0</v>
      </c>
      <c r="R80" s="378">
        <f>R47*'Pomocná data V. PAF'!S33</f>
        <v>0</v>
      </c>
      <c r="S80" s="378">
        <f>S47*'Pomocná data V. PAF'!T33</f>
        <v>0</v>
      </c>
      <c r="T80" s="378">
        <f>T47*'Pomocná data V. PAF'!U33</f>
        <v>2.898207156</v>
      </c>
      <c r="U80" s="378">
        <f>U47*'Pomocná data V. PAF'!V33</f>
        <v>0</v>
      </c>
      <c r="V80" s="24">
        <f t="shared" ref="V80:V90" si="32">SUM(B80:U80)</f>
        <v>2.898207156</v>
      </c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ht="15.75" customHeight="1">
      <c r="A81" s="380" t="s">
        <v>448</v>
      </c>
      <c r="B81" s="378">
        <f>B48*'Pomocná data V. PAF'!C34</f>
        <v>0</v>
      </c>
      <c r="C81" s="378">
        <f>C48*'Pomocná data V. PAF'!D34</f>
        <v>0</v>
      </c>
      <c r="D81" s="378">
        <f>D48*'Pomocná data V. PAF'!E34</f>
        <v>0</v>
      </c>
      <c r="E81" s="378">
        <f>E48*'Pomocná data V. PAF'!F34</f>
        <v>0</v>
      </c>
      <c r="F81" s="378">
        <f>F48*'Pomocná data V. PAF'!G34</f>
        <v>2.110689583</v>
      </c>
      <c r="G81" s="378">
        <f>G48*'Pomocná data V. PAF'!H34</f>
        <v>0</v>
      </c>
      <c r="H81" s="378">
        <f>H48*'Pomocná data V. PAF'!I34</f>
        <v>3.202220109</v>
      </c>
      <c r="I81" s="378">
        <f>I48*'Pomocná data V. PAF'!J34</f>
        <v>0</v>
      </c>
      <c r="J81" s="378">
        <f>J48*'Pomocná data V. PAF'!K34</f>
        <v>0</v>
      </c>
      <c r="K81" s="378">
        <f>K48*'Pomocná data V. PAF'!L34</f>
        <v>0</v>
      </c>
      <c r="L81" s="378">
        <f>L48*'Pomocná data V. PAF'!M34</f>
        <v>14.78484603</v>
      </c>
      <c r="M81" s="378">
        <f>M48*'Pomocná data V. PAF'!N34</f>
        <v>0</v>
      </c>
      <c r="N81" s="378">
        <f>N48*'Pomocná data V. PAF'!O34</f>
        <v>0</v>
      </c>
      <c r="O81" s="378">
        <f>O48*'Pomocná data V. PAF'!P34</f>
        <v>0</v>
      </c>
      <c r="P81" s="378">
        <f>P48*'Pomocná data V. PAF'!Q34</f>
        <v>0</v>
      </c>
      <c r="Q81" s="378">
        <f>Q48*'Pomocná data V. PAF'!R34</f>
        <v>0</v>
      </c>
      <c r="R81" s="378">
        <f>R48*'Pomocná data V. PAF'!S34</f>
        <v>0</v>
      </c>
      <c r="S81" s="378">
        <f>S48*'Pomocná data V. PAF'!T34</f>
        <v>0</v>
      </c>
      <c r="T81" s="378">
        <f>T48*'Pomocná data V. PAF'!U34</f>
        <v>5.018546702</v>
      </c>
      <c r="U81" s="378">
        <f>U48*'Pomocná data V. PAF'!V34</f>
        <v>0</v>
      </c>
      <c r="V81" s="24">
        <f t="shared" si="32"/>
        <v>25.11630242</v>
      </c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</row>
    <row r="82" ht="15.75" customHeight="1">
      <c r="A82" s="380" t="s">
        <v>449</v>
      </c>
      <c r="B82" s="378">
        <f>B49*'Pomocná data V. PAF'!C35</f>
        <v>6.451207698</v>
      </c>
      <c r="C82" s="378">
        <f>C49*'Pomocná data V. PAF'!D35</f>
        <v>0</v>
      </c>
      <c r="D82" s="378">
        <f>D49*'Pomocná data V. PAF'!E35</f>
        <v>0</v>
      </c>
      <c r="E82" s="378">
        <f>E49*'Pomocná data V. PAF'!F35</f>
        <v>0</v>
      </c>
      <c r="F82" s="378">
        <f>F49*'Pomocná data V. PAF'!G35</f>
        <v>2.745566628</v>
      </c>
      <c r="G82" s="378">
        <f>G49*'Pomocná data V. PAF'!H35</f>
        <v>0</v>
      </c>
      <c r="H82" s="378">
        <f>H49*'Pomocná data V. PAF'!I35</f>
        <v>0</v>
      </c>
      <c r="I82" s="378">
        <f>I49*'Pomocná data V. PAF'!J35</f>
        <v>0</v>
      </c>
      <c r="J82" s="378">
        <f>J49*'Pomocná data V. PAF'!K35</f>
        <v>0</v>
      </c>
      <c r="K82" s="378">
        <f>K49*'Pomocná data V. PAF'!L35</f>
        <v>0</v>
      </c>
      <c r="L82" s="378">
        <f>L49*'Pomocná data V. PAF'!M35</f>
        <v>18.28244519</v>
      </c>
      <c r="M82" s="378">
        <f>M49*'Pomocná data V. PAF'!N35</f>
        <v>0</v>
      </c>
      <c r="N82" s="378">
        <f>N49*'Pomocná data V. PAF'!O35</f>
        <v>12.70810163</v>
      </c>
      <c r="O82" s="378">
        <f>O49*'Pomocná data V. PAF'!P35</f>
        <v>1.132874988</v>
      </c>
      <c r="P82" s="378">
        <f>P49*'Pomocná data V. PAF'!Q35</f>
        <v>0</v>
      </c>
      <c r="Q82" s="378">
        <f>Q49*'Pomocná data V. PAF'!R35</f>
        <v>0</v>
      </c>
      <c r="R82" s="378">
        <f>R49*'Pomocná data V. PAF'!S35</f>
        <v>2.410203867</v>
      </c>
      <c r="S82" s="378">
        <f>S49*'Pomocná data V. PAF'!T35</f>
        <v>0</v>
      </c>
      <c r="T82" s="378">
        <f>T49*'Pomocná data V. PAF'!U35</f>
        <v>6.451207698</v>
      </c>
      <c r="U82" s="378">
        <f>U49*'Pomocná data V. PAF'!V35</f>
        <v>0</v>
      </c>
      <c r="V82" s="24">
        <f t="shared" si="32"/>
        <v>50.1816077</v>
      </c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</row>
    <row r="83" ht="15.75" customHeight="1">
      <c r="A83" s="380" t="s">
        <v>450</v>
      </c>
      <c r="B83" s="378">
        <f>B50*'Pomocná data V. PAF'!C36</f>
        <v>0</v>
      </c>
      <c r="C83" s="378">
        <f>C50*'Pomocná data V. PAF'!D36</f>
        <v>0</v>
      </c>
      <c r="D83" s="378">
        <f>D50*'Pomocná data V. PAF'!E36</f>
        <v>0</v>
      </c>
      <c r="E83" s="378">
        <f>E50*'Pomocná data V. PAF'!F36</f>
        <v>18.88746669</v>
      </c>
      <c r="F83" s="378">
        <f>F50*'Pomocná data V. PAF'!G36</f>
        <v>0</v>
      </c>
      <c r="G83" s="378">
        <f>G50*'Pomocná data V. PAF'!H36</f>
        <v>0</v>
      </c>
      <c r="H83" s="378">
        <f>H50*'Pomocná data V. PAF'!I36</f>
        <v>5.245442689</v>
      </c>
      <c r="I83" s="378">
        <f>I50*'Pomocná data V. PAF'!J36</f>
        <v>0</v>
      </c>
      <c r="J83" s="378">
        <f>J50*'Pomocná data V. PAF'!K36</f>
        <v>12.86856114</v>
      </c>
      <c r="K83" s="378">
        <f>K50*'Pomocná data V. PAF'!L36</f>
        <v>0</v>
      </c>
      <c r="L83" s="378">
        <f>L50*'Pomocná data V. PAF'!M36</f>
        <v>0</v>
      </c>
      <c r="M83" s="378">
        <f>M50*'Pomocná data V. PAF'!N36</f>
        <v>0</v>
      </c>
      <c r="N83" s="378">
        <f>N50*'Pomocná data V. PAF'!O36</f>
        <v>0</v>
      </c>
      <c r="O83" s="378">
        <f>O50*'Pomocná data V. PAF'!P36</f>
        <v>3.875929442</v>
      </c>
      <c r="P83" s="378">
        <f>P50*'Pomocná data V. PAF'!Q36</f>
        <v>0</v>
      </c>
      <c r="Q83" s="378">
        <f>Q50*'Pomocná data V. PAF'!R36</f>
        <v>6.926166894</v>
      </c>
      <c r="R83" s="378">
        <f>R50*'Pomocná data V. PAF'!S36</f>
        <v>3.073662232</v>
      </c>
      <c r="S83" s="378">
        <f>S50*'Pomocná data V. PAF'!T36</f>
        <v>8.448660408</v>
      </c>
      <c r="T83" s="378">
        <f>T50*'Pomocná data V. PAF'!U36</f>
        <v>8.073255012</v>
      </c>
      <c r="U83" s="378">
        <f>U50*'Pomocná data V. PAF'!V36</f>
        <v>13.69607705</v>
      </c>
      <c r="V83" s="24">
        <f t="shared" si="32"/>
        <v>81.09522156</v>
      </c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</row>
    <row r="84" ht="15.75" customHeight="1">
      <c r="A84" s="380" t="s">
        <v>451</v>
      </c>
      <c r="B84" s="378">
        <f>B51*'Pomocná data V. PAF'!C37</f>
        <v>10.27553789</v>
      </c>
      <c r="C84" s="378">
        <f>C51*'Pomocná data V. PAF'!D37</f>
        <v>0</v>
      </c>
      <c r="D84" s="378">
        <f>D51*'Pomocná data V. PAF'!E37</f>
        <v>52.69796477</v>
      </c>
      <c r="E84" s="378">
        <f>E51*'Pomocná data V. PAF'!F37</f>
        <v>52.4800843</v>
      </c>
      <c r="F84" s="378">
        <f>F51*'Pomocná data V. PAF'!G37</f>
        <v>4.582965932</v>
      </c>
      <c r="G84" s="378">
        <f>G51*'Pomocná data V. PAF'!H37</f>
        <v>0</v>
      </c>
      <c r="H84" s="378">
        <f>H51*'Pomocná data V. PAF'!I37</f>
        <v>6.798713768</v>
      </c>
      <c r="I84" s="378">
        <f>I51*'Pomocná data V. PAF'!J37</f>
        <v>75.6</v>
      </c>
      <c r="J84" s="378">
        <f>J51*'Pomocná data V. PAF'!K37</f>
        <v>0</v>
      </c>
      <c r="K84" s="378">
        <f>K51*'Pomocná data V. PAF'!L37</f>
        <v>0</v>
      </c>
      <c r="L84" s="378">
        <f>L51*'Pomocná data V. PAF'!M37</f>
        <v>25.40690708</v>
      </c>
      <c r="M84" s="378">
        <f>M51*'Pomocná data V. PAF'!N37</f>
        <v>0</v>
      </c>
      <c r="N84" s="378">
        <f>N51*'Pomocná data V. PAF'!O37</f>
        <v>18.78921898</v>
      </c>
      <c r="O84" s="378">
        <f>O51*'Pomocná data V. PAF'!P37</f>
        <v>12.23186137</v>
      </c>
      <c r="P84" s="378">
        <f>P51*'Pomocná data V. PAF'!Q37</f>
        <v>8.160214095</v>
      </c>
      <c r="Q84" s="378">
        <f>Q51*'Pomocná data V. PAF'!R37</f>
        <v>17.76076251</v>
      </c>
      <c r="R84" s="378">
        <f>R51*'Pomocná data V. PAF'!S37</f>
        <v>4.040714331</v>
      </c>
      <c r="S84" s="378">
        <f>S51*'Pomocná data V. PAF'!T37</f>
        <v>10.72771374</v>
      </c>
      <c r="T84" s="378">
        <f>T51*'Pomocná data V. PAF'!U37</f>
        <v>20.55107578</v>
      </c>
      <c r="U84" s="378">
        <f>U51*'Pomocná data V. PAF'!V37</f>
        <v>0</v>
      </c>
      <c r="V84" s="24">
        <f t="shared" si="32"/>
        <v>320.1037345</v>
      </c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</row>
    <row r="85" ht="15.75" customHeight="1">
      <c r="A85" s="380" t="s">
        <v>452</v>
      </c>
      <c r="B85" s="378">
        <f>B52*'Pomocná data V. PAF'!C38</f>
        <v>0</v>
      </c>
      <c r="C85" s="378">
        <f>C52*'Pomocná data V. PAF'!D38</f>
        <v>0</v>
      </c>
      <c r="D85" s="378">
        <f>D52*'Pomocná data V. PAF'!E38</f>
        <v>0</v>
      </c>
      <c r="E85" s="378">
        <f>E52*'Pomocná data V. PAF'!F38</f>
        <v>63.50154268</v>
      </c>
      <c r="F85" s="378">
        <f>F52*'Pomocná data V. PAF'!G38</f>
        <v>3.957427717</v>
      </c>
      <c r="G85" s="378">
        <f>G52*'Pomocná data V. PAF'!H38</f>
        <v>0</v>
      </c>
      <c r="H85" s="378">
        <f>H52*'Pomocná data V. PAF'!I38</f>
        <v>11.71325675</v>
      </c>
      <c r="I85" s="378">
        <f>I52*'Pomocná data V. PAF'!J38</f>
        <v>60.6</v>
      </c>
      <c r="J85" s="378">
        <f>J52*'Pomocná data V. PAF'!K38</f>
        <v>13.55761528</v>
      </c>
      <c r="K85" s="378">
        <f>K52*'Pomocná data V. PAF'!L38</f>
        <v>0</v>
      </c>
      <c r="L85" s="378">
        <f>L52*'Pomocná data V. PAF'!M38</f>
        <v>35.75522443</v>
      </c>
      <c r="M85" s="378">
        <f>M52*'Pomocná data V. PAF'!N38</f>
        <v>19.78367347</v>
      </c>
      <c r="N85" s="378">
        <f>N52*'Pomocná data V. PAF'!O38</f>
        <v>15.97774287</v>
      </c>
      <c r="O85" s="378">
        <f>O52*'Pomocná data V. PAF'!P38</f>
        <v>26.760916</v>
      </c>
      <c r="P85" s="378">
        <f>P52*'Pomocná data V. PAF'!Q38</f>
        <v>16.37789567</v>
      </c>
      <c r="Q85" s="378">
        <f>Q52*'Pomocná data V. PAF'!R38</f>
        <v>20.35360545</v>
      </c>
      <c r="R85" s="378">
        <f>R52*'Pomocná data V. PAF'!S38</f>
        <v>9.309995602</v>
      </c>
      <c r="S85" s="378">
        <f>S52*'Pomocná data V. PAF'!T38</f>
        <v>9.201962059</v>
      </c>
      <c r="T85" s="378">
        <f>T52*'Pomocná data V. PAF'!U38</f>
        <v>26.45521661</v>
      </c>
      <c r="U85" s="378">
        <f>U52*'Pomocná data V. PAF'!V38</f>
        <v>14.34163507</v>
      </c>
      <c r="V85" s="24">
        <f t="shared" si="32"/>
        <v>347.6477097</v>
      </c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</row>
    <row r="86" ht="15.75" customHeight="1">
      <c r="A86" s="380" t="s">
        <v>453</v>
      </c>
      <c r="B86" s="378">
        <f>B53*'Pomocná data V. PAF'!C39</f>
        <v>0</v>
      </c>
      <c r="C86" s="378">
        <f>C53*'Pomocná data V. PAF'!D39</f>
        <v>0</v>
      </c>
      <c r="D86" s="378">
        <f>D53*'Pomocná data V. PAF'!E39</f>
        <v>33.06430236</v>
      </c>
      <c r="E86" s="378">
        <f>E53*'Pomocná data V. PAF'!F39</f>
        <v>163.9245481</v>
      </c>
      <c r="F86" s="378">
        <f>F53*'Pomocná data V. PAF'!G39</f>
        <v>7.328638824</v>
      </c>
      <c r="G86" s="378">
        <f>G53*'Pomocná data V. PAF'!H39</f>
        <v>0</v>
      </c>
      <c r="H86" s="378">
        <f>H53*'Pomocná data V. PAF'!I39</f>
        <v>4.639647406</v>
      </c>
      <c r="I86" s="378">
        <f>I53*'Pomocná data V. PAF'!J39</f>
        <v>45.6</v>
      </c>
      <c r="J86" s="378">
        <f>J53*'Pomocná data V. PAF'!K39</f>
        <v>10.66121949</v>
      </c>
      <c r="K86" s="378">
        <f>K53*'Pomocná data V. PAF'!L39</f>
        <v>0</v>
      </c>
      <c r="L86" s="378">
        <f>L53*'Pomocná data V. PAF'!M39</f>
        <v>39.06795832</v>
      </c>
      <c r="M86" s="378">
        <f>M53*'Pomocná data V. PAF'!N39</f>
        <v>15.46498721</v>
      </c>
      <c r="N86" s="378">
        <f>N53*'Pomocná data V. PAF'!O39</f>
        <v>12.53527726</v>
      </c>
      <c r="O86" s="378">
        <f>O53*'Pomocná data V. PAF'!P39</f>
        <v>27.49443701</v>
      </c>
      <c r="P86" s="378">
        <f>P53*'Pomocná data V. PAF'!Q39</f>
        <v>20.36589093</v>
      </c>
      <c r="Q86" s="378">
        <f>Q53*'Pomocná data V. PAF'!R39</f>
        <v>28.16913159</v>
      </c>
      <c r="R86" s="378">
        <f>R53*'Pomocná data V. PAF'!S39</f>
        <v>12.01246267</v>
      </c>
      <c r="S86" s="378">
        <f>S53*'Pomocná data V. PAF'!T39</f>
        <v>7.266391121</v>
      </c>
      <c r="T86" s="378">
        <f>T53*'Pomocná data V. PAF'!U39</f>
        <v>11.61013632</v>
      </c>
      <c r="U86" s="378">
        <f>U53*'Pomocná data V. PAF'!V39</f>
        <v>11.26928581</v>
      </c>
      <c r="V86" s="24">
        <f t="shared" si="32"/>
        <v>450.4743144</v>
      </c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</row>
    <row r="87" ht="15.75" customHeight="1">
      <c r="A87" s="380" t="s">
        <v>454</v>
      </c>
      <c r="B87" s="378">
        <f>B54*'Pomocná data V. PAF'!C40</f>
        <v>5.266147847</v>
      </c>
      <c r="C87" s="378">
        <f>C54*'Pomocná data V. PAF'!D40</f>
        <v>0</v>
      </c>
      <c r="D87" s="378">
        <f>D54*'Pomocná data V. PAF'!E40</f>
        <v>61.4058041</v>
      </c>
      <c r="E87" s="378">
        <f>E54*'Pomocná data V. PAF'!F40</f>
        <v>190.3237008</v>
      </c>
      <c r="F87" s="378">
        <f>F54*'Pomocná data V. PAF'!G40</f>
        <v>8.015037594</v>
      </c>
      <c r="G87" s="378">
        <f>G54*'Pomocná data V. PAF'!H40</f>
        <v>0</v>
      </c>
      <c r="H87" s="378">
        <f>H54*'Pomocná data V. PAF'!I40</f>
        <v>3.534365837</v>
      </c>
      <c r="I87" s="378">
        <f>I54*'Pomocná data V. PAF'!J40</f>
        <v>30.6</v>
      </c>
      <c r="J87" s="378">
        <f>J54*'Pomocná data V. PAF'!K40</f>
        <v>7.963180399</v>
      </c>
      <c r="K87" s="378">
        <f>K54*'Pomocná data V. PAF'!L40</f>
        <v>0</v>
      </c>
      <c r="L87" s="378">
        <f>L54*'Pomocná data V. PAF'!M40</f>
        <v>36.79420282</v>
      </c>
      <c r="M87" s="378">
        <f>M54*'Pomocná data V. PAF'!N40</f>
        <v>22.74885243</v>
      </c>
      <c r="N87" s="378">
        <f>N54*'Pomocná data V. PAF'!O40</f>
        <v>21.71522692</v>
      </c>
      <c r="O87" s="378">
        <f>O54*'Pomocná data V. PAF'!P40</f>
        <v>23.90822939</v>
      </c>
      <c r="P87" s="378">
        <f>P54*'Pomocná data V. PAF'!Q40</f>
        <v>29.52890766</v>
      </c>
      <c r="Q87" s="378">
        <f>Q54*'Pomocná data V. PAF'!R40</f>
        <v>27.46294636</v>
      </c>
      <c r="R87" s="378">
        <f>R54*'Pomocná data V. PAF'!S40</f>
        <v>23.37299883</v>
      </c>
      <c r="S87" s="378">
        <f>S54*'Pomocná data V. PAF'!T40</f>
        <v>10.97554923</v>
      </c>
      <c r="T87" s="378">
        <f>T54*'Pomocná data V. PAF'!U40</f>
        <v>36.86303493</v>
      </c>
      <c r="U87" s="378">
        <f>U54*'Pomocná data V. PAF'!V40</f>
        <v>8.400831381</v>
      </c>
      <c r="V87" s="24">
        <f t="shared" si="32"/>
        <v>548.8790166</v>
      </c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</row>
    <row r="88" ht="15.75" customHeight="1">
      <c r="A88" s="380" t="s">
        <v>455</v>
      </c>
      <c r="B88" s="378">
        <f>B55*'Pomocná data V. PAF'!C41</f>
        <v>3.021789331</v>
      </c>
      <c r="C88" s="378">
        <f>C55*'Pomocná data V. PAF'!D41</f>
        <v>0</v>
      </c>
      <c r="D88" s="378">
        <f>D55*'Pomocná data V. PAF'!E41</f>
        <v>52.6252975</v>
      </c>
      <c r="E88" s="378">
        <f>E55*'Pomocná data V. PAF'!F41</f>
        <v>169.5159582</v>
      </c>
      <c r="F88" s="378">
        <f>F55*'Pomocná data V. PAF'!G41</f>
        <v>6.531430236</v>
      </c>
      <c r="G88" s="378">
        <f>G55*'Pomocná data V. PAF'!H41</f>
        <v>0</v>
      </c>
      <c r="H88" s="378">
        <f>H55*'Pomocná data V. PAF'!I41</f>
        <v>6.136878323</v>
      </c>
      <c r="I88" s="378">
        <f>I55*'Pomocná data V. PAF'!J41</f>
        <v>15.6</v>
      </c>
      <c r="J88" s="378">
        <f>J55*'Pomocná data V. PAF'!K41</f>
        <v>4.509111591</v>
      </c>
      <c r="K88" s="378">
        <f>K55*'Pomocná data V. PAF'!L41</f>
        <v>0</v>
      </c>
      <c r="L88" s="378">
        <f>L55*'Pomocná data V. PAF'!M41</f>
        <v>20.40525188</v>
      </c>
      <c r="M88" s="378">
        <f>M55*'Pomocná data V. PAF'!N41</f>
        <v>19.00506485</v>
      </c>
      <c r="N88" s="378">
        <f>N55*'Pomocná data V. PAF'!O41</f>
        <v>31.41226746</v>
      </c>
      <c r="O88" s="378">
        <f>O55*'Pomocná data V. PAF'!P41</f>
        <v>18.41769163</v>
      </c>
      <c r="P88" s="378">
        <f>P55*'Pomocná data V. PAF'!Q41</f>
        <v>44.60904794</v>
      </c>
      <c r="Q88" s="378">
        <f>Q55*'Pomocná data V. PAF'!R41</f>
        <v>28.98980121</v>
      </c>
      <c r="R88" s="378">
        <f>R55*'Pomocná data V. PAF'!S41</f>
        <v>18.99083812</v>
      </c>
      <c r="S88" s="378">
        <f>S55*'Pomocná data V. PAF'!T41</f>
        <v>18.87304081</v>
      </c>
      <c r="T88" s="378">
        <f>T55*'Pomocná data V. PAF'!U41</f>
        <v>32.23241953</v>
      </c>
      <c r="U88" s="378">
        <f>U55*'Pomocná data V. PAF'!V41</f>
        <v>33.22738354</v>
      </c>
      <c r="V88" s="24">
        <f t="shared" si="32"/>
        <v>524.1032722</v>
      </c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</row>
    <row r="89" ht="15.75" customHeight="1">
      <c r="A89" s="380" t="s">
        <v>456</v>
      </c>
      <c r="B89" s="378">
        <f>B56*'Pomocná data V. PAF'!C42</f>
        <v>0.1162226666</v>
      </c>
      <c r="C89" s="378">
        <f>C56*'Pomocná data V. PAF'!D42</f>
        <v>0</v>
      </c>
      <c r="D89" s="378">
        <f>D56*'Pomocná data V. PAF'!E42</f>
        <v>7.940503469</v>
      </c>
      <c r="E89" s="378">
        <f>E56*'Pomocná data V. PAF'!F42</f>
        <v>17.43862035</v>
      </c>
      <c r="F89" s="378">
        <f>F56*'Pomocná data V. PAF'!G42</f>
        <v>0.5741916691</v>
      </c>
      <c r="G89" s="378">
        <f>G56*'Pomocná data V. PAF'!H42</f>
        <v>0</v>
      </c>
      <c r="H89" s="378">
        <f>H56*'Pomocná data V. PAF'!I42</f>
        <v>0.4458415876</v>
      </c>
      <c r="I89" s="378">
        <f>I56*'Pomocná data V. PAF'!J42</f>
        <v>1.4</v>
      </c>
      <c r="J89" s="378">
        <f>J56*'Pomocná data V. PAF'!K42</f>
        <v>0.1734273689</v>
      </c>
      <c r="K89" s="378">
        <f>K56*'Pomocná data V. PAF'!L42</f>
        <v>0</v>
      </c>
      <c r="L89" s="378">
        <f>L56*'Pomocná data V. PAF'!M42</f>
        <v>0.9592212421</v>
      </c>
      <c r="M89" s="378">
        <f>M56*'Pomocná data V. PAF'!N42</f>
        <v>1.949237421</v>
      </c>
      <c r="N89" s="378">
        <f>N56*'Pomocná data V. PAF'!O42</f>
        <v>1.74512597</v>
      </c>
      <c r="O89" s="378">
        <f>O56*'Pomocná data V. PAF'!P42</f>
        <v>1.347448175</v>
      </c>
      <c r="P89" s="378">
        <f>P56*'Pomocná data V. PAF'!Q42</f>
        <v>3.213099257</v>
      </c>
      <c r="Q89" s="378">
        <f>Q56*'Pomocná data V. PAF'!R42</f>
        <v>1.756957649</v>
      </c>
      <c r="R89" s="378">
        <f>R56*'Pomocná data V. PAF'!S42</f>
        <v>1.460833702</v>
      </c>
      <c r="S89" s="378">
        <f>S56*'Pomocná data V. PAF'!T42</f>
        <v>1.572753401</v>
      </c>
      <c r="T89" s="378">
        <f>T56*'Pomocná data V. PAF'!U42</f>
        <v>2.789343998</v>
      </c>
      <c r="U89" s="378">
        <f>U56*'Pomocná data V. PAF'!V42</f>
        <v>2.738520621</v>
      </c>
      <c r="V89" s="24">
        <f t="shared" si="32"/>
        <v>47.62134855</v>
      </c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</row>
    <row r="90" ht="15.75" customHeight="1">
      <c r="A90" s="13" t="s">
        <v>68</v>
      </c>
      <c r="B90" s="501">
        <f t="shared" ref="B90:U90" si="33">SUM(B80:B89)</f>
        <v>25.13090543</v>
      </c>
      <c r="C90" s="501">
        <f t="shared" si="33"/>
        <v>0</v>
      </c>
      <c r="D90" s="501">
        <f t="shared" si="33"/>
        <v>207.7338722</v>
      </c>
      <c r="E90" s="501">
        <f t="shared" si="33"/>
        <v>676.0719212</v>
      </c>
      <c r="F90" s="501">
        <f t="shared" si="33"/>
        <v>35.84594818</v>
      </c>
      <c r="G90" s="501">
        <f t="shared" si="33"/>
        <v>0</v>
      </c>
      <c r="H90" s="501">
        <f t="shared" si="33"/>
        <v>41.71636647</v>
      </c>
      <c r="I90" s="501">
        <f t="shared" si="33"/>
        <v>229.4</v>
      </c>
      <c r="J90" s="501">
        <f t="shared" si="33"/>
        <v>49.73311526</v>
      </c>
      <c r="K90" s="501">
        <f t="shared" si="33"/>
        <v>0</v>
      </c>
      <c r="L90" s="501">
        <f t="shared" si="33"/>
        <v>191.456057</v>
      </c>
      <c r="M90" s="501">
        <f t="shared" si="33"/>
        <v>78.95181539</v>
      </c>
      <c r="N90" s="501">
        <f t="shared" si="33"/>
        <v>114.8829611</v>
      </c>
      <c r="O90" s="501">
        <f t="shared" si="33"/>
        <v>115.169388</v>
      </c>
      <c r="P90" s="501">
        <f t="shared" si="33"/>
        <v>122.2550556</v>
      </c>
      <c r="Q90" s="501">
        <f t="shared" si="33"/>
        <v>131.4193717</v>
      </c>
      <c r="R90" s="501">
        <f t="shared" si="33"/>
        <v>74.67170935</v>
      </c>
      <c r="S90" s="501">
        <f t="shared" si="33"/>
        <v>67.06607077</v>
      </c>
      <c r="T90" s="501">
        <f t="shared" si="33"/>
        <v>152.9424437</v>
      </c>
      <c r="U90" s="501">
        <f t="shared" si="33"/>
        <v>83.67373347</v>
      </c>
      <c r="V90" s="503">
        <f t="shared" si="32"/>
        <v>2398.120735</v>
      </c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</row>
    <row r="91" ht="15.75" customHeight="1"/>
    <row r="92" ht="15.75" customHeight="1">
      <c r="A92" s="376" t="s">
        <v>605</v>
      </c>
      <c r="D92" s="376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  <c r="AA92" s="376"/>
      <c r="AB92" s="376"/>
      <c r="AC92" s="376"/>
      <c r="AD92" s="376"/>
      <c r="AE92" s="376"/>
      <c r="AF92" s="376"/>
      <c r="AG92" s="376"/>
      <c r="AH92" s="376"/>
      <c r="AI92" s="376"/>
      <c r="AJ92" s="376"/>
      <c r="AK92" s="376"/>
      <c r="AL92" s="376"/>
      <c r="AM92" s="376"/>
      <c r="AN92" s="376"/>
      <c r="AO92" s="376"/>
      <c r="AP92" s="376"/>
      <c r="AQ92" s="376"/>
      <c r="AR92" s="376"/>
      <c r="AS92" s="376"/>
    </row>
    <row r="93" ht="15.75" customHeight="1">
      <c r="A93" s="262" t="s">
        <v>468</v>
      </c>
      <c r="B93" s="504" t="s">
        <v>288</v>
      </c>
      <c r="C93" s="504" t="s">
        <v>405</v>
      </c>
      <c r="D93" s="504" t="s">
        <v>469</v>
      </c>
      <c r="E93" s="504" t="s">
        <v>294</v>
      </c>
      <c r="F93" s="504" t="s">
        <v>296</v>
      </c>
      <c r="G93" s="504" t="s">
        <v>298</v>
      </c>
      <c r="H93" s="504" t="s">
        <v>300</v>
      </c>
      <c r="I93" s="504" t="s">
        <v>89</v>
      </c>
      <c r="J93" s="504" t="s">
        <v>303</v>
      </c>
      <c r="K93" s="504" t="s">
        <v>470</v>
      </c>
      <c r="L93" s="504" t="s">
        <v>307</v>
      </c>
      <c r="M93" s="504" t="s">
        <v>406</v>
      </c>
      <c r="N93" s="504" t="s">
        <v>311</v>
      </c>
      <c r="O93" s="504" t="s">
        <v>313</v>
      </c>
      <c r="P93" s="504" t="s">
        <v>315</v>
      </c>
      <c r="Q93" s="504" t="s">
        <v>407</v>
      </c>
      <c r="R93" s="504" t="s">
        <v>319</v>
      </c>
      <c r="S93" s="504" t="s">
        <v>321</v>
      </c>
      <c r="T93" s="504" t="s">
        <v>323</v>
      </c>
      <c r="U93" s="504" t="s">
        <v>408</v>
      </c>
      <c r="V93" s="198"/>
      <c r="W93" s="14"/>
      <c r="X93" s="14"/>
      <c r="Y93" s="14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</row>
    <row r="94" ht="15.75" customHeight="1">
      <c r="A94" s="381" t="s">
        <v>447</v>
      </c>
      <c r="B94" s="149">
        <f t="shared" ref="B94:U94" si="34">B63-B80</f>
        <v>0</v>
      </c>
      <c r="C94" s="149">
        <f t="shared" si="34"/>
        <v>0</v>
      </c>
      <c r="D94" s="149">
        <f t="shared" si="34"/>
        <v>0</v>
      </c>
      <c r="E94" s="149">
        <f t="shared" si="34"/>
        <v>0</v>
      </c>
      <c r="F94" s="149">
        <f t="shared" si="34"/>
        <v>0</v>
      </c>
      <c r="G94" s="149">
        <f t="shared" si="34"/>
        <v>0</v>
      </c>
      <c r="H94" s="149">
        <f t="shared" si="34"/>
        <v>0</v>
      </c>
      <c r="I94" s="149">
        <f t="shared" si="34"/>
        <v>0</v>
      </c>
      <c r="J94" s="149">
        <f t="shared" si="34"/>
        <v>0</v>
      </c>
      <c r="K94" s="149">
        <f t="shared" si="34"/>
        <v>0</v>
      </c>
      <c r="L94" s="149">
        <f t="shared" si="34"/>
        <v>0</v>
      </c>
      <c r="M94" s="149">
        <f t="shared" si="34"/>
        <v>0</v>
      </c>
      <c r="N94" s="149">
        <f t="shared" si="34"/>
        <v>0</v>
      </c>
      <c r="O94" s="149">
        <f t="shared" si="34"/>
        <v>0</v>
      </c>
      <c r="P94" s="149">
        <f t="shared" si="34"/>
        <v>0</v>
      </c>
      <c r="Q94" s="149">
        <f t="shared" si="34"/>
        <v>0</v>
      </c>
      <c r="R94" s="149">
        <f t="shared" si="34"/>
        <v>0</v>
      </c>
      <c r="S94" s="149">
        <f t="shared" si="34"/>
        <v>0</v>
      </c>
      <c r="T94" s="149">
        <f t="shared" si="34"/>
        <v>1.038737963</v>
      </c>
      <c r="U94" s="149">
        <f t="shared" si="34"/>
        <v>0</v>
      </c>
      <c r="V94" s="198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</row>
    <row r="95" ht="15.75" customHeight="1">
      <c r="A95" s="381" t="s">
        <v>448</v>
      </c>
      <c r="B95" s="149">
        <f t="shared" ref="B95:U95" si="35">B64-B81</f>
        <v>0</v>
      </c>
      <c r="C95" s="149">
        <f t="shared" si="35"/>
        <v>0</v>
      </c>
      <c r="D95" s="149">
        <f t="shared" si="35"/>
        <v>0</v>
      </c>
      <c r="E95" s="149">
        <f t="shared" si="35"/>
        <v>0</v>
      </c>
      <c r="F95" s="149">
        <f t="shared" si="35"/>
        <v>1.155103752</v>
      </c>
      <c r="G95" s="149">
        <f t="shared" si="35"/>
        <v>0</v>
      </c>
      <c r="H95" s="149">
        <f t="shared" si="35"/>
        <v>1.752458766</v>
      </c>
      <c r="I95" s="149">
        <f t="shared" si="35"/>
        <v>0</v>
      </c>
      <c r="J95" s="149">
        <f t="shared" si="35"/>
        <v>0</v>
      </c>
      <c r="K95" s="149">
        <f t="shared" si="35"/>
        <v>0</v>
      </c>
      <c r="L95" s="149">
        <f t="shared" si="35"/>
        <v>8.09120927</v>
      </c>
      <c r="M95" s="149">
        <f t="shared" si="35"/>
        <v>0</v>
      </c>
      <c r="N95" s="149">
        <f t="shared" si="35"/>
        <v>0</v>
      </c>
      <c r="O95" s="149">
        <f t="shared" si="35"/>
        <v>0</v>
      </c>
      <c r="P95" s="149">
        <f t="shared" si="35"/>
        <v>0</v>
      </c>
      <c r="Q95" s="149">
        <f t="shared" si="35"/>
        <v>0</v>
      </c>
      <c r="R95" s="149">
        <f t="shared" si="35"/>
        <v>0</v>
      </c>
      <c r="S95" s="149">
        <f t="shared" si="35"/>
        <v>0</v>
      </c>
      <c r="T95" s="149">
        <f t="shared" si="35"/>
        <v>2.746468344</v>
      </c>
      <c r="U95" s="149">
        <f t="shared" si="35"/>
        <v>0</v>
      </c>
      <c r="V95" s="198"/>
      <c r="W95" s="14"/>
      <c r="X95" s="14"/>
      <c r="Y95" s="14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</row>
    <row r="96" ht="15.75" customHeight="1">
      <c r="A96" s="381" t="s">
        <v>449</v>
      </c>
      <c r="B96" s="149">
        <f t="shared" ref="B96:U96" si="36">B65-B82</f>
        <v>4.050332106</v>
      </c>
      <c r="C96" s="149">
        <f t="shared" si="36"/>
        <v>0</v>
      </c>
      <c r="D96" s="149">
        <f t="shared" si="36"/>
        <v>0</v>
      </c>
      <c r="E96" s="149">
        <f t="shared" si="36"/>
        <v>0</v>
      </c>
      <c r="F96" s="149">
        <f t="shared" si="36"/>
        <v>1.723779048</v>
      </c>
      <c r="G96" s="149">
        <f t="shared" si="36"/>
        <v>0</v>
      </c>
      <c r="H96" s="149">
        <f t="shared" si="36"/>
        <v>0</v>
      </c>
      <c r="I96" s="149">
        <f t="shared" si="36"/>
        <v>0</v>
      </c>
      <c r="J96" s="149">
        <f t="shared" si="36"/>
        <v>0</v>
      </c>
      <c r="K96" s="149">
        <f t="shared" si="36"/>
        <v>0</v>
      </c>
      <c r="L96" s="149">
        <f t="shared" si="36"/>
        <v>11.47846701</v>
      </c>
      <c r="M96" s="149">
        <f t="shared" si="36"/>
        <v>0</v>
      </c>
      <c r="N96" s="149">
        <f t="shared" si="36"/>
        <v>7.978666083</v>
      </c>
      <c r="O96" s="149">
        <f t="shared" si="36"/>
        <v>0.7112652621</v>
      </c>
      <c r="P96" s="149">
        <f t="shared" si="36"/>
        <v>0</v>
      </c>
      <c r="Q96" s="149">
        <f t="shared" si="36"/>
        <v>0</v>
      </c>
      <c r="R96" s="149">
        <f t="shared" si="36"/>
        <v>1.513224587</v>
      </c>
      <c r="S96" s="149">
        <f t="shared" si="36"/>
        <v>0</v>
      </c>
      <c r="T96" s="149">
        <f t="shared" si="36"/>
        <v>4.050332106</v>
      </c>
      <c r="U96" s="149">
        <f t="shared" si="36"/>
        <v>0</v>
      </c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</row>
    <row r="97" ht="15.75" customHeight="1">
      <c r="A97" s="381" t="s">
        <v>450</v>
      </c>
      <c r="B97" s="149">
        <f t="shared" ref="B97:U97" si="37">B66-B83</f>
        <v>0</v>
      </c>
      <c r="C97" s="149">
        <f t="shared" si="37"/>
        <v>0</v>
      </c>
      <c r="D97" s="149">
        <f t="shared" si="37"/>
        <v>0</v>
      </c>
      <c r="E97" s="149">
        <f t="shared" si="37"/>
        <v>13.88416426</v>
      </c>
      <c r="F97" s="149">
        <f t="shared" si="37"/>
        <v>0</v>
      </c>
      <c r="G97" s="149">
        <f t="shared" si="37"/>
        <v>0</v>
      </c>
      <c r="H97" s="149">
        <f t="shared" si="37"/>
        <v>3.855921447</v>
      </c>
      <c r="I97" s="149">
        <f t="shared" si="37"/>
        <v>0</v>
      </c>
      <c r="J97" s="149">
        <f t="shared" si="37"/>
        <v>9.45967077</v>
      </c>
      <c r="K97" s="149">
        <f t="shared" si="37"/>
        <v>0</v>
      </c>
      <c r="L97" s="149">
        <f t="shared" si="37"/>
        <v>0</v>
      </c>
      <c r="M97" s="149">
        <f t="shared" si="37"/>
        <v>0</v>
      </c>
      <c r="N97" s="149">
        <f t="shared" si="37"/>
        <v>0</v>
      </c>
      <c r="O97" s="149">
        <f t="shared" si="37"/>
        <v>2.849193166</v>
      </c>
      <c r="P97" s="149">
        <f t="shared" si="37"/>
        <v>0</v>
      </c>
      <c r="Q97" s="149">
        <f t="shared" si="37"/>
        <v>5.091420697</v>
      </c>
      <c r="R97" s="149">
        <f t="shared" si="37"/>
        <v>2.259447072</v>
      </c>
      <c r="S97" s="149">
        <f t="shared" si="37"/>
        <v>6.210604671</v>
      </c>
      <c r="T97" s="149">
        <f t="shared" si="37"/>
        <v>5.934644412</v>
      </c>
      <c r="U97" s="149">
        <f t="shared" si="37"/>
        <v>10.06797717</v>
      </c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</row>
    <row r="98" ht="15.75" customHeight="1">
      <c r="A98" s="381" t="s">
        <v>451</v>
      </c>
      <c r="B98" s="149">
        <f t="shared" ref="B98:U98" si="38">B67-B84</f>
        <v>9.093035514</v>
      </c>
      <c r="C98" s="149">
        <f t="shared" si="38"/>
        <v>0</v>
      </c>
      <c r="D98" s="149">
        <f t="shared" si="38"/>
        <v>46.63351644</v>
      </c>
      <c r="E98" s="149">
        <f t="shared" si="38"/>
        <v>46.44070952</v>
      </c>
      <c r="F98" s="149">
        <f t="shared" si="38"/>
        <v>4.055561122</v>
      </c>
      <c r="G98" s="149">
        <f t="shared" si="38"/>
        <v>0</v>
      </c>
      <c r="H98" s="149">
        <f t="shared" si="38"/>
        <v>6.016322104</v>
      </c>
      <c r="I98" s="149">
        <f t="shared" si="38"/>
        <v>66.9</v>
      </c>
      <c r="J98" s="149">
        <f t="shared" si="38"/>
        <v>0</v>
      </c>
      <c r="K98" s="149">
        <f t="shared" si="38"/>
        <v>0</v>
      </c>
      <c r="L98" s="149">
        <f t="shared" si="38"/>
        <v>22.48309635</v>
      </c>
      <c r="M98" s="149">
        <f t="shared" si="38"/>
        <v>0</v>
      </c>
      <c r="N98" s="149">
        <f t="shared" si="38"/>
        <v>16.62696759</v>
      </c>
      <c r="O98" s="149">
        <f t="shared" si="38"/>
        <v>10.82422653</v>
      </c>
      <c r="P98" s="149">
        <f t="shared" si="38"/>
        <v>7.221141838</v>
      </c>
      <c r="Q98" s="149">
        <f t="shared" si="38"/>
        <v>15.71686524</v>
      </c>
      <c r="R98" s="149">
        <f t="shared" si="38"/>
        <v>3.575711491</v>
      </c>
      <c r="S98" s="149">
        <f t="shared" si="38"/>
        <v>9.493175252</v>
      </c>
      <c r="T98" s="149">
        <f t="shared" si="38"/>
        <v>18.18607103</v>
      </c>
      <c r="U98" s="149">
        <f t="shared" si="38"/>
        <v>0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</row>
    <row r="99" ht="15.75" customHeight="1">
      <c r="A99" s="381" t="s">
        <v>452</v>
      </c>
      <c r="B99" s="149">
        <f t="shared" ref="B99:U99" si="39">B68-B85</f>
        <v>0</v>
      </c>
      <c r="C99" s="149">
        <f t="shared" si="39"/>
        <v>0</v>
      </c>
      <c r="D99" s="149">
        <f t="shared" si="39"/>
        <v>0</v>
      </c>
      <c r="E99" s="149">
        <f t="shared" si="39"/>
        <v>70.41755228</v>
      </c>
      <c r="F99" s="149">
        <f t="shared" si="39"/>
        <v>4.388434696</v>
      </c>
      <c r="G99" s="149">
        <f t="shared" si="39"/>
        <v>0</v>
      </c>
      <c r="H99" s="149">
        <f t="shared" si="39"/>
        <v>12.98895798</v>
      </c>
      <c r="I99" s="149">
        <f t="shared" si="39"/>
        <v>67.2</v>
      </c>
      <c r="J99" s="149">
        <f t="shared" si="39"/>
        <v>15.03418724</v>
      </c>
      <c r="K99" s="149">
        <f t="shared" si="39"/>
        <v>0</v>
      </c>
      <c r="L99" s="149">
        <f t="shared" si="39"/>
        <v>39.64935778</v>
      </c>
      <c r="M99" s="149">
        <f t="shared" si="39"/>
        <v>21.93833098</v>
      </c>
      <c r="N99" s="149">
        <f t="shared" si="39"/>
        <v>17.71789308</v>
      </c>
      <c r="O99" s="149">
        <f t="shared" si="39"/>
        <v>29.67547121</v>
      </c>
      <c r="P99" s="149">
        <f t="shared" si="39"/>
        <v>18.16162688</v>
      </c>
      <c r="Q99" s="149">
        <f t="shared" si="39"/>
        <v>22.57033476</v>
      </c>
      <c r="R99" s="149">
        <f t="shared" si="39"/>
        <v>10.32395552</v>
      </c>
      <c r="S99" s="149">
        <f t="shared" si="39"/>
        <v>10.20415595</v>
      </c>
      <c r="T99" s="149">
        <f t="shared" si="39"/>
        <v>29.33647783</v>
      </c>
      <c r="U99" s="149">
        <f t="shared" si="39"/>
        <v>15.90359533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</row>
    <row r="100" ht="15.75" customHeight="1">
      <c r="A100" s="381" t="s">
        <v>453</v>
      </c>
      <c r="B100" s="149">
        <f t="shared" ref="B100:U100" si="40">B69-B86</f>
        <v>0</v>
      </c>
      <c r="C100" s="149">
        <f t="shared" si="40"/>
        <v>0</v>
      </c>
      <c r="D100" s="149">
        <f t="shared" si="40"/>
        <v>49.16139692</v>
      </c>
      <c r="E100" s="149">
        <f t="shared" si="40"/>
        <v>243.7299202</v>
      </c>
      <c r="F100" s="149">
        <f t="shared" si="40"/>
        <v>10.89652878</v>
      </c>
      <c r="G100" s="149">
        <f t="shared" si="40"/>
        <v>0</v>
      </c>
      <c r="H100" s="149">
        <f t="shared" si="40"/>
        <v>6.898423116</v>
      </c>
      <c r="I100" s="149">
        <f t="shared" si="40"/>
        <v>67.8</v>
      </c>
      <c r="J100" s="149">
        <f t="shared" si="40"/>
        <v>15.85155003</v>
      </c>
      <c r="K100" s="149">
        <f t="shared" si="40"/>
        <v>0</v>
      </c>
      <c r="L100" s="149">
        <f t="shared" si="40"/>
        <v>58.0878854</v>
      </c>
      <c r="M100" s="149">
        <f t="shared" si="40"/>
        <v>22.99399414</v>
      </c>
      <c r="N100" s="149">
        <f t="shared" si="40"/>
        <v>18.63797802</v>
      </c>
      <c r="O100" s="149">
        <f t="shared" si="40"/>
        <v>40.87988661</v>
      </c>
      <c r="P100" s="149">
        <f t="shared" si="40"/>
        <v>30.28086414</v>
      </c>
      <c r="Q100" s="149">
        <f t="shared" si="40"/>
        <v>41.88305092</v>
      </c>
      <c r="R100" s="149">
        <f t="shared" si="40"/>
        <v>17.86063528</v>
      </c>
      <c r="S100" s="149">
        <f t="shared" si="40"/>
        <v>10.80397627</v>
      </c>
      <c r="T100" s="149">
        <f t="shared" si="40"/>
        <v>17.26243953</v>
      </c>
      <c r="U100" s="149">
        <f t="shared" si="40"/>
        <v>16.75564863</v>
      </c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</row>
    <row r="101" ht="15.75" customHeight="1">
      <c r="A101" s="381" t="s">
        <v>454</v>
      </c>
      <c r="B101" s="149">
        <f t="shared" ref="B101:U101" si="41">B70-B87</f>
        <v>11.77138931</v>
      </c>
      <c r="C101" s="149">
        <f t="shared" si="41"/>
        <v>0</v>
      </c>
      <c r="D101" s="149">
        <f t="shared" si="41"/>
        <v>137.2600327</v>
      </c>
      <c r="E101" s="149">
        <f t="shared" si="41"/>
        <v>425.4294489</v>
      </c>
      <c r="F101" s="149">
        <f t="shared" si="41"/>
        <v>17.91596639</v>
      </c>
      <c r="G101" s="149">
        <f t="shared" si="41"/>
        <v>0</v>
      </c>
      <c r="H101" s="149">
        <f t="shared" si="41"/>
        <v>7.900347165</v>
      </c>
      <c r="I101" s="149">
        <f t="shared" si="41"/>
        <v>68.4</v>
      </c>
      <c r="J101" s="149">
        <f t="shared" si="41"/>
        <v>17.8000503</v>
      </c>
      <c r="K101" s="149">
        <f t="shared" si="41"/>
        <v>0</v>
      </c>
      <c r="L101" s="149">
        <f t="shared" si="41"/>
        <v>82.24586513</v>
      </c>
      <c r="M101" s="149">
        <f t="shared" si="41"/>
        <v>50.85037603</v>
      </c>
      <c r="N101" s="149">
        <f t="shared" si="41"/>
        <v>48.539919</v>
      </c>
      <c r="O101" s="149">
        <f t="shared" si="41"/>
        <v>53.44192452</v>
      </c>
      <c r="P101" s="149">
        <f t="shared" si="41"/>
        <v>66.0057936</v>
      </c>
      <c r="Q101" s="149">
        <f t="shared" si="41"/>
        <v>61.38776246</v>
      </c>
      <c r="R101" s="149">
        <f t="shared" si="41"/>
        <v>52.24552679</v>
      </c>
      <c r="S101" s="149">
        <f t="shared" si="41"/>
        <v>24.53358063</v>
      </c>
      <c r="T101" s="149">
        <f t="shared" si="41"/>
        <v>82.39972514</v>
      </c>
      <c r="U101" s="149">
        <f t="shared" si="41"/>
        <v>18.77832897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</row>
    <row r="102" ht="15.75" customHeight="1">
      <c r="A102" s="381" t="s">
        <v>455</v>
      </c>
      <c r="B102" s="149">
        <f t="shared" ref="B102:U102" si="42">B71-B88</f>
        <v>13.48182932</v>
      </c>
      <c r="C102" s="149">
        <f t="shared" si="42"/>
        <v>0</v>
      </c>
      <c r="D102" s="149">
        <f t="shared" si="42"/>
        <v>234.7897888</v>
      </c>
      <c r="E102" s="149">
        <f t="shared" si="42"/>
        <v>756.3019675</v>
      </c>
      <c r="F102" s="149">
        <f t="shared" si="42"/>
        <v>29.14022721</v>
      </c>
      <c r="G102" s="149">
        <f t="shared" si="42"/>
        <v>0</v>
      </c>
      <c r="H102" s="149">
        <f t="shared" si="42"/>
        <v>27.37991867</v>
      </c>
      <c r="I102" s="149">
        <f t="shared" si="42"/>
        <v>69.6</v>
      </c>
      <c r="J102" s="149">
        <f t="shared" si="42"/>
        <v>20.11757479</v>
      </c>
      <c r="K102" s="149">
        <f t="shared" si="42"/>
        <v>0</v>
      </c>
      <c r="L102" s="149">
        <f t="shared" si="42"/>
        <v>91.03881607</v>
      </c>
      <c r="M102" s="149">
        <f t="shared" si="42"/>
        <v>84.79182781</v>
      </c>
      <c r="N102" s="149">
        <f t="shared" si="42"/>
        <v>140.1470394</v>
      </c>
      <c r="O102" s="149">
        <f t="shared" si="42"/>
        <v>82.17123957</v>
      </c>
      <c r="P102" s="149">
        <f t="shared" si="42"/>
        <v>199.0249831</v>
      </c>
      <c r="Q102" s="149">
        <f t="shared" si="42"/>
        <v>129.3391131</v>
      </c>
      <c r="R102" s="149">
        <f t="shared" si="42"/>
        <v>84.72835469</v>
      </c>
      <c r="S102" s="149">
        <f t="shared" si="42"/>
        <v>84.20279747</v>
      </c>
      <c r="T102" s="149">
        <f t="shared" si="42"/>
        <v>143.8061794</v>
      </c>
      <c r="U102" s="149">
        <f t="shared" si="42"/>
        <v>148.2452496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</row>
    <row r="103" ht="15.75" customHeight="1">
      <c r="A103" s="381" t="s">
        <v>456</v>
      </c>
      <c r="B103" s="149">
        <f t="shared" ref="B103:U103" si="43">B72-B89</f>
        <v>13.77238599</v>
      </c>
      <c r="C103" s="149">
        <f t="shared" si="43"/>
        <v>0</v>
      </c>
      <c r="D103" s="149">
        <f t="shared" si="43"/>
        <v>940.9496611</v>
      </c>
      <c r="E103" s="149">
        <f t="shared" si="43"/>
        <v>2066.476512</v>
      </c>
      <c r="F103" s="149">
        <f t="shared" si="43"/>
        <v>68.04171279</v>
      </c>
      <c r="G103" s="149">
        <f t="shared" si="43"/>
        <v>0</v>
      </c>
      <c r="H103" s="149">
        <f t="shared" si="43"/>
        <v>52.83222813</v>
      </c>
      <c r="I103" s="149">
        <f t="shared" si="43"/>
        <v>165.9</v>
      </c>
      <c r="J103" s="149">
        <f t="shared" si="43"/>
        <v>20.55114321</v>
      </c>
      <c r="K103" s="149">
        <f t="shared" si="43"/>
        <v>0</v>
      </c>
      <c r="L103" s="149">
        <f t="shared" si="43"/>
        <v>113.6677172</v>
      </c>
      <c r="M103" s="149">
        <f t="shared" si="43"/>
        <v>230.9846344</v>
      </c>
      <c r="N103" s="149">
        <f t="shared" si="43"/>
        <v>206.7974274</v>
      </c>
      <c r="O103" s="149">
        <f t="shared" si="43"/>
        <v>159.6726087</v>
      </c>
      <c r="P103" s="149">
        <f t="shared" si="43"/>
        <v>380.752262</v>
      </c>
      <c r="Q103" s="149">
        <f t="shared" si="43"/>
        <v>208.1994814</v>
      </c>
      <c r="R103" s="149">
        <f t="shared" si="43"/>
        <v>173.1087936</v>
      </c>
      <c r="S103" s="149">
        <f t="shared" si="43"/>
        <v>186.371278</v>
      </c>
      <c r="T103" s="149">
        <f t="shared" si="43"/>
        <v>330.5372638</v>
      </c>
      <c r="U103" s="149">
        <f t="shared" si="43"/>
        <v>324.5146936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</row>
    <row r="104" ht="15.75" customHeight="1">
      <c r="A104" s="381" t="s">
        <v>457</v>
      </c>
      <c r="B104" s="149">
        <f t="shared" ref="B104:U104" si="44">B73</f>
        <v>23.842566</v>
      </c>
      <c r="C104" s="149">
        <f t="shared" si="44"/>
        <v>0</v>
      </c>
      <c r="D104" s="149">
        <f t="shared" si="44"/>
        <v>1736.894046</v>
      </c>
      <c r="E104" s="149">
        <f t="shared" si="44"/>
        <v>3454.982672</v>
      </c>
      <c r="F104" s="149">
        <f t="shared" si="44"/>
        <v>66.90916593</v>
      </c>
      <c r="G104" s="149">
        <f t="shared" si="44"/>
        <v>0</v>
      </c>
      <c r="H104" s="149">
        <f t="shared" si="44"/>
        <v>64.02796026</v>
      </c>
      <c r="I104" s="149">
        <f t="shared" si="44"/>
        <v>157.6</v>
      </c>
      <c r="J104" s="149">
        <f t="shared" si="44"/>
        <v>51.47937596</v>
      </c>
      <c r="K104" s="149">
        <f t="shared" si="44"/>
        <v>0</v>
      </c>
      <c r="L104" s="149">
        <f t="shared" si="44"/>
        <v>404.0471555</v>
      </c>
      <c r="M104" s="149">
        <f t="shared" si="44"/>
        <v>279.2465366</v>
      </c>
      <c r="N104" s="149">
        <f t="shared" si="44"/>
        <v>306.7590197</v>
      </c>
      <c r="O104" s="149">
        <f t="shared" si="44"/>
        <v>118.0568436</v>
      </c>
      <c r="P104" s="149">
        <f t="shared" si="44"/>
        <v>447.547071</v>
      </c>
      <c r="Q104" s="149">
        <f t="shared" si="44"/>
        <v>307.9258242</v>
      </c>
      <c r="R104" s="149">
        <f t="shared" si="44"/>
        <v>151.2610508</v>
      </c>
      <c r="S104" s="149">
        <f t="shared" si="44"/>
        <v>216.5061914</v>
      </c>
      <c r="T104" s="149">
        <f t="shared" si="44"/>
        <v>500.6938861</v>
      </c>
      <c r="U104" s="149">
        <f t="shared" si="44"/>
        <v>423.5734021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</row>
    <row r="105" ht="15.75" customHeight="1">
      <c r="A105" s="381" t="s">
        <v>458</v>
      </c>
      <c r="B105" s="149">
        <f t="shared" ref="B105:U105" si="45">B74</f>
        <v>30.57139985</v>
      </c>
      <c r="C105" s="149">
        <f t="shared" si="45"/>
        <v>0</v>
      </c>
      <c r="D105" s="149">
        <f t="shared" si="45"/>
        <v>2611.014319</v>
      </c>
      <c r="E105" s="149">
        <f t="shared" si="45"/>
        <v>4434.138153</v>
      </c>
      <c r="F105" s="149">
        <f t="shared" si="45"/>
        <v>86.68354743</v>
      </c>
      <c r="G105" s="149">
        <f t="shared" si="45"/>
        <v>0</v>
      </c>
      <c r="H105" s="149">
        <f t="shared" si="45"/>
        <v>39.17313413</v>
      </c>
      <c r="I105" s="149">
        <f t="shared" si="45"/>
        <v>219.8</v>
      </c>
      <c r="J105" s="149">
        <f t="shared" si="45"/>
        <v>65.89081187</v>
      </c>
      <c r="K105" s="149">
        <f t="shared" si="45"/>
        <v>0</v>
      </c>
      <c r="L105" s="149">
        <f t="shared" si="45"/>
        <v>337.5927966</v>
      </c>
      <c r="M105" s="149">
        <f t="shared" si="45"/>
        <v>251.0755173</v>
      </c>
      <c r="N105" s="149">
        <f t="shared" si="45"/>
        <v>318.0534843</v>
      </c>
      <c r="O105" s="149">
        <f t="shared" si="45"/>
        <v>121.7673313</v>
      </c>
      <c r="P105" s="149">
        <f t="shared" si="45"/>
        <v>441.799913</v>
      </c>
      <c r="Q105" s="149">
        <f t="shared" si="45"/>
        <v>324.9976888</v>
      </c>
      <c r="R105" s="149">
        <f t="shared" si="45"/>
        <v>120.4426728</v>
      </c>
      <c r="S105" s="149">
        <f t="shared" si="45"/>
        <v>162.0257914</v>
      </c>
      <c r="T105" s="149">
        <f t="shared" si="45"/>
        <v>613.9756136</v>
      </c>
      <c r="U105" s="149">
        <f t="shared" si="45"/>
        <v>683.5328643</v>
      </c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</row>
    <row r="106" ht="15.75" customHeight="1">
      <c r="A106" s="381" t="s">
        <v>459</v>
      </c>
      <c r="B106" s="149">
        <f t="shared" ref="B106:U106" si="46">B75</f>
        <v>63.97338653</v>
      </c>
      <c r="C106" s="149">
        <f t="shared" si="46"/>
        <v>0</v>
      </c>
      <c r="D106" s="149">
        <f t="shared" si="46"/>
        <v>6749.889673</v>
      </c>
      <c r="E106" s="149">
        <f t="shared" si="46"/>
        <v>15404.44747</v>
      </c>
      <c r="F106" s="149">
        <f t="shared" si="46"/>
        <v>116.7115177</v>
      </c>
      <c r="G106" s="149">
        <f t="shared" si="46"/>
        <v>0</v>
      </c>
      <c r="H106" s="149">
        <f t="shared" si="46"/>
        <v>49.57884725</v>
      </c>
      <c r="I106" s="149">
        <f t="shared" si="46"/>
        <v>115.5</v>
      </c>
      <c r="J106" s="149">
        <f t="shared" si="46"/>
        <v>121.9305358</v>
      </c>
      <c r="K106" s="149">
        <f t="shared" si="46"/>
        <v>2.957862473</v>
      </c>
      <c r="L106" s="149">
        <f t="shared" si="46"/>
        <v>773.5396264</v>
      </c>
      <c r="M106" s="149">
        <f t="shared" si="46"/>
        <v>300.8621798</v>
      </c>
      <c r="N106" s="149">
        <f t="shared" si="46"/>
        <v>449.2158301</v>
      </c>
      <c r="O106" s="149">
        <f t="shared" si="46"/>
        <v>145.4901827</v>
      </c>
      <c r="P106" s="149">
        <f t="shared" si="46"/>
        <v>482.9582548</v>
      </c>
      <c r="Q106" s="149">
        <f t="shared" si="46"/>
        <v>433.6005238</v>
      </c>
      <c r="R106" s="149">
        <f t="shared" si="46"/>
        <v>96.91967275</v>
      </c>
      <c r="S106" s="149">
        <f t="shared" si="46"/>
        <v>278.6252728</v>
      </c>
      <c r="T106" s="149">
        <f t="shared" si="46"/>
        <v>1829.25479</v>
      </c>
      <c r="U106" s="149">
        <f t="shared" si="46"/>
        <v>2205.424319</v>
      </c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</row>
    <row r="107" ht="15.75" customHeight="1">
      <c r="A107" s="13" t="s">
        <v>68</v>
      </c>
      <c r="B107" s="505">
        <f t="shared" ref="B107:U107" si="47">SUM(B94:B106)</f>
        <v>170.5563246</v>
      </c>
      <c r="C107" s="505">
        <f t="shared" si="47"/>
        <v>0</v>
      </c>
      <c r="D107" s="505">
        <f t="shared" si="47"/>
        <v>12506.59243</v>
      </c>
      <c r="E107" s="505">
        <f t="shared" si="47"/>
        <v>26916.24857</v>
      </c>
      <c r="F107" s="505">
        <f t="shared" si="47"/>
        <v>407.6215448</v>
      </c>
      <c r="G107" s="505">
        <f t="shared" si="47"/>
        <v>0</v>
      </c>
      <c r="H107" s="505">
        <f t="shared" si="47"/>
        <v>272.404519</v>
      </c>
      <c r="I107" s="505">
        <f t="shared" si="47"/>
        <v>998.7</v>
      </c>
      <c r="J107" s="505">
        <f t="shared" si="47"/>
        <v>338.1149</v>
      </c>
      <c r="K107" s="505">
        <f t="shared" si="47"/>
        <v>2.957862473</v>
      </c>
      <c r="L107" s="505">
        <f t="shared" si="47"/>
        <v>1941.921993</v>
      </c>
      <c r="M107" s="505">
        <f t="shared" si="47"/>
        <v>1242.743397</v>
      </c>
      <c r="N107" s="505">
        <f t="shared" si="47"/>
        <v>1530.474225</v>
      </c>
      <c r="O107" s="505">
        <f t="shared" si="47"/>
        <v>765.5401732</v>
      </c>
      <c r="P107" s="505">
        <f t="shared" si="47"/>
        <v>2073.75191</v>
      </c>
      <c r="Q107" s="505">
        <f t="shared" si="47"/>
        <v>1550.712065</v>
      </c>
      <c r="R107" s="505">
        <f t="shared" si="47"/>
        <v>714.2390454</v>
      </c>
      <c r="S107" s="505">
        <f t="shared" si="47"/>
        <v>988.9768238</v>
      </c>
      <c r="T107" s="505">
        <f t="shared" si="47"/>
        <v>3579.222629</v>
      </c>
      <c r="U107" s="505">
        <f t="shared" si="47"/>
        <v>3846.796078</v>
      </c>
      <c r="V107" s="149">
        <f>SUM(B107:U107)</f>
        <v>59847.5745</v>
      </c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</row>
    <row r="108" ht="15.75" customHeight="1">
      <c r="A108" s="506"/>
      <c r="B108" s="408"/>
      <c r="C108" s="408"/>
      <c r="D108" s="408"/>
      <c r="E108" s="408"/>
      <c r="F108" s="408"/>
      <c r="G108" s="408"/>
      <c r="H108" s="408"/>
      <c r="I108" s="408"/>
      <c r="J108" s="408"/>
      <c r="K108" s="408"/>
      <c r="L108" s="408"/>
      <c r="M108" s="408"/>
      <c r="N108" s="408"/>
      <c r="O108" s="408"/>
      <c r="P108" s="408"/>
      <c r="Q108" s="408"/>
      <c r="R108" s="408"/>
      <c r="S108" s="408"/>
      <c r="T108" s="408"/>
      <c r="U108" s="408"/>
      <c r="V108" s="408"/>
      <c r="W108" s="408"/>
      <c r="X108" s="408"/>
      <c r="Y108" s="408"/>
      <c r="Z108" s="408"/>
      <c r="AA108" s="408"/>
      <c r="AB108" s="408"/>
      <c r="AC108" s="408"/>
      <c r="AD108" s="408"/>
      <c r="AE108" s="408"/>
      <c r="AF108" s="408"/>
      <c r="AG108" s="408"/>
      <c r="AH108" s="408"/>
      <c r="AI108" s="408"/>
      <c r="AJ108" s="408"/>
      <c r="AK108" s="408"/>
      <c r="AL108" s="408"/>
      <c r="AM108" s="408"/>
      <c r="AN108" s="408"/>
      <c r="AO108" s="408"/>
      <c r="AP108" s="408"/>
      <c r="AQ108" s="408"/>
      <c r="AR108" s="408"/>
      <c r="AS108" s="408"/>
    </row>
    <row r="109" ht="15.75" customHeight="1">
      <c r="A109" s="218" t="s">
        <v>419</v>
      </c>
      <c r="B109" s="219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</row>
    <row r="110" ht="15.75" customHeight="1">
      <c r="A110" s="506"/>
      <c r="B110" s="408"/>
      <c r="C110" s="408"/>
      <c r="D110" s="408"/>
      <c r="E110" s="408"/>
      <c r="F110" s="408"/>
      <c r="G110" s="408"/>
      <c r="H110" s="408"/>
      <c r="I110" s="408"/>
      <c r="J110" s="408"/>
      <c r="K110" s="408"/>
      <c r="L110" s="408"/>
      <c r="M110" s="408"/>
      <c r="N110" s="408"/>
      <c r="O110" s="408"/>
      <c r="P110" s="408"/>
      <c r="Q110" s="408"/>
      <c r="R110" s="408"/>
      <c r="S110" s="408"/>
      <c r="T110" s="408"/>
      <c r="U110" s="408"/>
      <c r="V110" s="408"/>
      <c r="W110" s="408"/>
      <c r="X110" s="408"/>
      <c r="Y110" s="408"/>
      <c r="Z110" s="408"/>
      <c r="AA110" s="408"/>
      <c r="AB110" s="408"/>
      <c r="AC110" s="408"/>
      <c r="AD110" s="408"/>
      <c r="AE110" s="408"/>
      <c r="AF110" s="408"/>
      <c r="AG110" s="408"/>
      <c r="AH110" s="408"/>
      <c r="AI110" s="408"/>
      <c r="AJ110" s="408"/>
      <c r="AK110" s="408"/>
      <c r="AL110" s="408"/>
      <c r="AM110" s="408"/>
      <c r="AN110" s="408"/>
      <c r="AO110" s="408"/>
      <c r="AP110" s="408"/>
      <c r="AQ110" s="408"/>
      <c r="AR110" s="408"/>
      <c r="AS110" s="408"/>
    </row>
    <row r="111" ht="15.75" customHeight="1">
      <c r="A111" s="13" t="s">
        <v>602</v>
      </c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</row>
    <row r="112" ht="15.75" customHeight="1">
      <c r="A112" s="262" t="s">
        <v>468</v>
      </c>
      <c r="B112" s="504" t="s">
        <v>288</v>
      </c>
      <c r="C112" s="504" t="s">
        <v>405</v>
      </c>
      <c r="D112" s="504" t="s">
        <v>469</v>
      </c>
      <c r="E112" s="504" t="s">
        <v>294</v>
      </c>
      <c r="F112" s="504" t="s">
        <v>296</v>
      </c>
      <c r="G112" s="504" t="s">
        <v>298</v>
      </c>
      <c r="H112" s="504" t="s">
        <v>300</v>
      </c>
      <c r="I112" s="504" t="s">
        <v>89</v>
      </c>
      <c r="J112" s="504" t="s">
        <v>303</v>
      </c>
      <c r="K112" s="504" t="s">
        <v>470</v>
      </c>
      <c r="L112" s="504" t="s">
        <v>307</v>
      </c>
      <c r="M112" s="504" t="s">
        <v>406</v>
      </c>
      <c r="N112" s="504" t="s">
        <v>311</v>
      </c>
      <c r="O112" s="504" t="s">
        <v>313</v>
      </c>
      <c r="P112" s="504" t="s">
        <v>315</v>
      </c>
      <c r="Q112" s="504" t="s">
        <v>407</v>
      </c>
      <c r="R112" s="504" t="s">
        <v>319</v>
      </c>
      <c r="S112" s="504" t="s">
        <v>321</v>
      </c>
      <c r="T112" s="504" t="s">
        <v>323</v>
      </c>
      <c r="U112" s="504" t="s">
        <v>408</v>
      </c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</row>
    <row r="113" ht="15.75" customHeight="1">
      <c r="A113" s="381" t="s">
        <v>447</v>
      </c>
      <c r="B113" s="146">
        <f>B26*'Pomocná data V. PAF'!C77</f>
        <v>0</v>
      </c>
      <c r="C113" s="146">
        <f>C26*'Pomocná data V. PAF'!D77</f>
        <v>0</v>
      </c>
      <c r="D113" s="146">
        <f>D26*'Pomocná data V. PAF'!E77</f>
        <v>0</v>
      </c>
      <c r="E113" s="146">
        <f>E26*'Pomocná data V. PAF'!F77</f>
        <v>0</v>
      </c>
      <c r="F113" s="146">
        <f>F26*'Pomocná data V. PAF'!G77</f>
        <v>0</v>
      </c>
      <c r="G113" s="146">
        <f>G26*'Pomocná data V. PAF'!H77</f>
        <v>0</v>
      </c>
      <c r="H113" s="146">
        <f>H26*'Pomocná data V. PAF'!I77</f>
        <v>0</v>
      </c>
      <c r="I113" s="146">
        <f>I26*'Pomocná data V. PAF'!J77</f>
        <v>0</v>
      </c>
      <c r="J113" s="146">
        <f>J26*'Pomocná data V. PAF'!K77</f>
        <v>0</v>
      </c>
      <c r="K113" s="146">
        <f>K26*'Pomocná data V. PAF'!L77</f>
        <v>0</v>
      </c>
      <c r="L113" s="146">
        <f>L26*'Pomocná data V. PAF'!M77</f>
        <v>0</v>
      </c>
      <c r="M113" s="146">
        <f>M26*'Pomocná data V. PAF'!N77</f>
        <v>0</v>
      </c>
      <c r="N113" s="146">
        <f>N26*'Pomocná data V. PAF'!O77</f>
        <v>0</v>
      </c>
      <c r="O113" s="146">
        <f>O26*'Pomocná data V. PAF'!P77</f>
        <v>0</v>
      </c>
      <c r="P113" s="146">
        <f>P26*'Pomocná data V. PAF'!Q77</f>
        <v>0</v>
      </c>
      <c r="Q113" s="146">
        <f>Q26*'Pomocná data V. PAF'!R77</f>
        <v>0</v>
      </c>
      <c r="R113" s="146">
        <f>R26*'Pomocná data V. PAF'!S77</f>
        <v>0</v>
      </c>
      <c r="S113" s="146">
        <f>S26*'Pomocná data V. PAF'!T77</f>
        <v>0</v>
      </c>
      <c r="T113" s="146">
        <f>T26*'Pomocná data V. PAF'!U77</f>
        <v>0.3603257615</v>
      </c>
      <c r="U113" s="146">
        <f>U26*'Pomocná data V. PAF'!V77</f>
        <v>0</v>
      </c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</row>
    <row r="114" ht="15.75" customHeight="1">
      <c r="A114" s="381" t="s">
        <v>448</v>
      </c>
      <c r="B114" s="146">
        <f>B27*'Pomocná data V. PAF'!C78</f>
        <v>0</v>
      </c>
      <c r="C114" s="146">
        <f>C27*'Pomocná data V. PAF'!D78</f>
        <v>0</v>
      </c>
      <c r="D114" s="146">
        <f>D27*'Pomocná data V. PAF'!E78</f>
        <v>0</v>
      </c>
      <c r="E114" s="146">
        <f>E27*'Pomocná data V. PAF'!F78</f>
        <v>0</v>
      </c>
      <c r="F114" s="146">
        <f>F27*'Pomocná data V. PAF'!G78</f>
        <v>0.8273077229</v>
      </c>
      <c r="G114" s="146">
        <f>G27*'Pomocná data V. PAF'!H78</f>
        <v>0</v>
      </c>
      <c r="H114" s="146">
        <f>H27*'Pomocná data V. PAF'!I78</f>
        <v>2.763069072</v>
      </c>
      <c r="I114" s="146">
        <f>I27*'Pomocná data V. PAF'!J78</f>
        <v>0</v>
      </c>
      <c r="J114" s="146">
        <f>J27*'Pomocná data V. PAF'!K78</f>
        <v>0</v>
      </c>
      <c r="K114" s="146">
        <f>K27*'Pomocná data V. PAF'!L78</f>
        <v>0</v>
      </c>
      <c r="L114" s="146">
        <f>L27*'Pomocná data V. PAF'!M78</f>
        <v>15.34816068</v>
      </c>
      <c r="M114" s="146">
        <f>M27*'Pomocná data V. PAF'!N78</f>
        <v>0</v>
      </c>
      <c r="N114" s="146">
        <f>N27*'Pomocná data V. PAF'!O78</f>
        <v>0</v>
      </c>
      <c r="O114" s="146">
        <f>O27*'Pomocná data V. PAF'!P78</f>
        <v>0</v>
      </c>
      <c r="P114" s="146">
        <f>P27*'Pomocná data V. PAF'!Q78</f>
        <v>0</v>
      </c>
      <c r="Q114" s="146">
        <f>Q27*'Pomocná data V. PAF'!R78</f>
        <v>0</v>
      </c>
      <c r="R114" s="146">
        <f>R27*'Pomocná data V. PAF'!S78</f>
        <v>0</v>
      </c>
      <c r="S114" s="146">
        <f>S27*'Pomocná data V. PAF'!T78</f>
        <v>0</v>
      </c>
      <c r="T114" s="146">
        <f>T27*'Pomocná data V. PAF'!U78</f>
        <v>0.7242956612</v>
      </c>
      <c r="U114" s="146">
        <f>U27*'Pomocná data V. PAF'!V78</f>
        <v>0</v>
      </c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</row>
    <row r="115" ht="15.75" customHeight="1">
      <c r="A115" s="381" t="s">
        <v>449</v>
      </c>
      <c r="B115" s="146">
        <f>B28*'Pomocná data V. PAF'!C79</f>
        <v>5.011725974</v>
      </c>
      <c r="C115" s="146">
        <f>C28*'Pomocná data V. PAF'!D79</f>
        <v>0</v>
      </c>
      <c r="D115" s="146">
        <f>D28*'Pomocná data V. PAF'!E79</f>
        <v>0</v>
      </c>
      <c r="E115" s="146">
        <f>E28*'Pomocná data V. PAF'!F79</f>
        <v>0</v>
      </c>
      <c r="F115" s="146">
        <f>F28*'Pomocná data V. PAF'!G79</f>
        <v>1.13955752</v>
      </c>
      <c r="G115" s="146">
        <f>G28*'Pomocná data V. PAF'!H79</f>
        <v>0</v>
      </c>
      <c r="H115" s="146">
        <f>H28*'Pomocná data V. PAF'!I79</f>
        <v>0</v>
      </c>
      <c r="I115" s="146">
        <f>I28*'Pomocná data V. PAF'!J79</f>
        <v>0</v>
      </c>
      <c r="J115" s="146">
        <f>J28*'Pomocná data V. PAF'!K79</f>
        <v>0</v>
      </c>
      <c r="K115" s="146">
        <f>K28*'Pomocná data V. PAF'!L79</f>
        <v>0</v>
      </c>
      <c r="L115" s="146">
        <f>L28*'Pomocná data V. PAF'!M79</f>
        <v>20.35315618</v>
      </c>
      <c r="M115" s="146">
        <f>M28*'Pomocná data V. PAF'!N79</f>
        <v>0</v>
      </c>
      <c r="N115" s="146">
        <f>N28*'Pomocná data V. PAF'!O79</f>
        <v>17.86095259</v>
      </c>
      <c r="O115" s="146">
        <f>O28*'Pomocná data V. PAF'!P79</f>
        <v>0.7139984116</v>
      </c>
      <c r="P115" s="146">
        <f>P28*'Pomocná data V. PAF'!Q79</f>
        <v>0</v>
      </c>
      <c r="Q115" s="146">
        <f>Q28*'Pomocná data V. PAF'!R79</f>
        <v>0</v>
      </c>
      <c r="R115" s="146">
        <f>R28*'Pomocná data V. PAF'!S79</f>
        <v>2.820843941</v>
      </c>
      <c r="S115" s="146">
        <f>S28*'Pomocná data V. PAF'!T79</f>
        <v>0</v>
      </c>
      <c r="T115" s="146">
        <f>T28*'Pomocná data V. PAF'!U79</f>
        <v>0.9979397718</v>
      </c>
      <c r="U115" s="146">
        <f>U28*'Pomocná data V. PAF'!V79</f>
        <v>0</v>
      </c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</row>
    <row r="116" ht="15.75" customHeight="1">
      <c r="A116" s="381" t="s">
        <v>450</v>
      </c>
      <c r="B116" s="146">
        <f>B29*'Pomocná data V. PAF'!C80</f>
        <v>0</v>
      </c>
      <c r="C116" s="146">
        <f>C29*'Pomocná data V. PAF'!D80</f>
        <v>0</v>
      </c>
      <c r="D116" s="146">
        <f>D29*'Pomocná data V. PAF'!E80</f>
        <v>0</v>
      </c>
      <c r="E116" s="146">
        <f>E29*'Pomocná data V. PAF'!F80</f>
        <v>29.08329932</v>
      </c>
      <c r="F116" s="146">
        <f>F29*'Pomocná data V. PAF'!G80</f>
        <v>0</v>
      </c>
      <c r="G116" s="146">
        <f>G29*'Pomocná data V. PAF'!H80</f>
        <v>0</v>
      </c>
      <c r="H116" s="146">
        <f>H29*'Pomocná data V. PAF'!I80</f>
        <v>5.14887965</v>
      </c>
      <c r="I116" s="146">
        <f>I29*'Pomocná data V. PAF'!J80</f>
        <v>0</v>
      </c>
      <c r="J116" s="146">
        <f>J29*'Pomocná data V. PAF'!K80</f>
        <v>3.281697443</v>
      </c>
      <c r="K116" s="146">
        <f>K29*'Pomocná data V. PAF'!L80</f>
        <v>0</v>
      </c>
      <c r="L116" s="146">
        <f>L29*'Pomocná data V. PAF'!M80</f>
        <v>0</v>
      </c>
      <c r="M116" s="146">
        <f>M29*'Pomocná data V. PAF'!N80</f>
        <v>0</v>
      </c>
      <c r="N116" s="146">
        <f>N29*'Pomocná data V. PAF'!O80</f>
        <v>0</v>
      </c>
      <c r="O116" s="146">
        <f>O29*'Pomocná data V. PAF'!P80</f>
        <v>2.612376209</v>
      </c>
      <c r="P116" s="146">
        <f>P29*'Pomocná data V. PAF'!Q80</f>
        <v>0</v>
      </c>
      <c r="Q116" s="146">
        <f>Q29*'Pomocná data V. PAF'!R80</f>
        <v>9.624474665</v>
      </c>
      <c r="R116" s="146">
        <f>R29*'Pomocná data V. PAF'!S80</f>
        <v>3.846649507</v>
      </c>
      <c r="S116" s="146">
        <f>S29*'Pomocná data V. PAF'!T80</f>
        <v>6.065585089</v>
      </c>
      <c r="T116" s="146">
        <f>T29*'Pomocná data V. PAF'!U80</f>
        <v>1.368087244</v>
      </c>
      <c r="U116" s="146">
        <f>U29*'Pomocná data V. PAF'!V80</f>
        <v>10.83081223</v>
      </c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</row>
    <row r="117" ht="15.75" customHeight="1">
      <c r="A117" s="381" t="s">
        <v>451</v>
      </c>
      <c r="B117" s="146">
        <f>B30*'Pomocná data V. PAF'!C81</f>
        <v>9.645254522</v>
      </c>
      <c r="C117" s="146">
        <f>C30*'Pomocná data V. PAF'!D81</f>
        <v>0</v>
      </c>
      <c r="D117" s="146">
        <f>D30*'Pomocná data V. PAF'!E81</f>
        <v>88.09788245</v>
      </c>
      <c r="E117" s="146">
        <f>E30*'Pomocná data V. PAF'!F81</f>
        <v>88.91323061</v>
      </c>
      <c r="F117" s="146">
        <f>F30*'Pomocná data V. PAF'!G81</f>
        <v>2.26249836</v>
      </c>
      <c r="G117" s="146">
        <f>G30*'Pomocná data V. PAF'!H81</f>
        <v>0</v>
      </c>
      <c r="H117" s="146">
        <f>H30*'Pomocná data V. PAF'!I81</f>
        <v>7.358457016</v>
      </c>
      <c r="I117" s="146">
        <f>I30*'Pomocná data V. PAF'!J81</f>
        <v>142.5</v>
      </c>
      <c r="J117" s="146">
        <f>J30*'Pomocná data V. PAF'!K81</f>
        <v>0</v>
      </c>
      <c r="K117" s="146">
        <f>K30*'Pomocná data V. PAF'!L81</f>
        <v>0</v>
      </c>
      <c r="L117" s="146">
        <f>L30*'Pomocná data V. PAF'!M81</f>
        <v>34.92712095</v>
      </c>
      <c r="M117" s="146">
        <f>M30*'Pomocná data V. PAF'!N81</f>
        <v>0</v>
      </c>
      <c r="N117" s="146">
        <f>N30*'Pomocná data V. PAF'!O81</f>
        <v>31.1994103</v>
      </c>
      <c r="O117" s="146">
        <f>O30*'Pomocná data V. PAF'!P81</f>
        <v>9.009363914</v>
      </c>
      <c r="P117" s="146">
        <f>P30*'Pomocná data V. PAF'!Q81</f>
        <v>4.723439741</v>
      </c>
      <c r="Q117" s="146">
        <f>Q30*'Pomocná data V. PAF'!R81</f>
        <v>27.05032281</v>
      </c>
      <c r="R117" s="146">
        <f>R30*'Pomocná data V. PAF'!S81</f>
        <v>5.52467158</v>
      </c>
      <c r="S117" s="146">
        <f>S30*'Pomocná data V. PAF'!T81</f>
        <v>8.638527054</v>
      </c>
      <c r="T117" s="146">
        <f>T30*'Pomocná data V. PAF'!U81</f>
        <v>3.967245715</v>
      </c>
      <c r="U117" s="146">
        <f>U30*'Pomocná data V. PAF'!V81</f>
        <v>0</v>
      </c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</row>
    <row r="118" ht="15.75" customHeight="1">
      <c r="A118" s="381" t="s">
        <v>452</v>
      </c>
      <c r="B118" s="146">
        <f>B31*'Pomocná data V. PAF'!C82</f>
        <v>0</v>
      </c>
      <c r="C118" s="146">
        <f>C31*'Pomocná data V. PAF'!D82</f>
        <v>0</v>
      </c>
      <c r="D118" s="146">
        <f>D31*'Pomocná data V. PAF'!E82</f>
        <v>0</v>
      </c>
      <c r="E118" s="146">
        <f>E31*'Pomocná data V. PAF'!F82</f>
        <v>120.6637837</v>
      </c>
      <c r="F118" s="146">
        <f>F31*'Pomocná data V. PAF'!G82</f>
        <v>2.193919539</v>
      </c>
      <c r="G118" s="146">
        <f>G31*'Pomocná data V. PAF'!H82</f>
        <v>0</v>
      </c>
      <c r="H118" s="146">
        <f>H31*'Pomocná data V. PAF'!I82</f>
        <v>14.22883045</v>
      </c>
      <c r="I118" s="146">
        <f>I31*'Pomocná data V. PAF'!J82</f>
        <v>127.8</v>
      </c>
      <c r="J118" s="146">
        <f>J31*'Pomocná data V. PAF'!K82</f>
        <v>4.57374773</v>
      </c>
      <c r="K118" s="146">
        <f>K31*'Pomocná data V. PAF'!L82</f>
        <v>0</v>
      </c>
      <c r="L118" s="146">
        <f>L31*'Pomocná data V. PAF'!M82</f>
        <v>55.39927982</v>
      </c>
      <c r="M118" s="146">
        <f>M31*'Pomocná data V. PAF'!N82</f>
        <v>37.6105174</v>
      </c>
      <c r="N118" s="146">
        <f>N31*'Pomocná data V. PAF'!O82</f>
        <v>29.75501796</v>
      </c>
      <c r="O118" s="146">
        <f>O31*'Pomocná data V. PAF'!P82</f>
        <v>22.08134531</v>
      </c>
      <c r="P118" s="146">
        <f>P31*'Pomocná data V. PAF'!Q82</f>
        <v>10.67207804</v>
      </c>
      <c r="Q118" s="146">
        <f>Q31*'Pomocná data V. PAF'!R82</f>
        <v>34.74719511</v>
      </c>
      <c r="R118" s="146">
        <f>R31*'Pomocná data V. PAF'!S82</f>
        <v>14.2589588</v>
      </c>
      <c r="S118" s="146">
        <f>S31*'Pomocná data V. PAF'!T82</f>
        <v>8.345862413</v>
      </c>
      <c r="T118" s="146">
        <f>T31*'Pomocná data V. PAF'!U82</f>
        <v>5.771423412</v>
      </c>
      <c r="U118" s="146">
        <f>U31*'Pomocná data V. PAF'!V82</f>
        <v>14.58409544</v>
      </c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</row>
    <row r="119" ht="15.75" customHeight="1">
      <c r="A119" s="381" t="s">
        <v>453</v>
      </c>
      <c r="B119" s="146">
        <f>B32*'Pomocná data V. PAF'!C83</f>
        <v>0</v>
      </c>
      <c r="C119" s="146">
        <f>C32*'Pomocná data V. PAF'!D83</f>
        <v>0</v>
      </c>
      <c r="D119" s="146">
        <f>D32*'Pomocná data V. PAF'!E83</f>
        <v>73.69784783</v>
      </c>
      <c r="E119" s="146">
        <f>E32*'Pomocná data V. PAF'!F83</f>
        <v>367.9656092</v>
      </c>
      <c r="F119" s="146">
        <f>F32*'Pomocná data V. PAF'!G83</f>
        <v>4.804485056</v>
      </c>
      <c r="G119" s="146">
        <f>G32*'Pomocná data V. PAF'!H83</f>
        <v>0</v>
      </c>
      <c r="H119" s="146">
        <f>H32*'Pomocná data V. PAF'!I83</f>
        <v>6.662049199</v>
      </c>
      <c r="I119" s="146">
        <f>I32*'Pomocná data V. PAF'!J83</f>
        <v>113.4</v>
      </c>
      <c r="J119" s="146">
        <f>J32*'Pomocná data V. PAF'!K83</f>
        <v>4.287922781</v>
      </c>
      <c r="K119" s="146">
        <f>K32*'Pomocná data V. PAF'!L83</f>
        <v>0</v>
      </c>
      <c r="L119" s="146">
        <f>L32*'Pomocná data V. PAF'!M83</f>
        <v>71.76792157</v>
      </c>
      <c r="M119" s="146">
        <f>M32*'Pomocná data V. PAF'!N83</f>
        <v>34.73349212</v>
      </c>
      <c r="N119" s="146">
        <f>N32*'Pomocná data V. PAF'!O83</f>
        <v>27.57684061</v>
      </c>
      <c r="O119" s="146">
        <f>O32*'Pomocná data V. PAF'!P83</f>
        <v>26.77859408</v>
      </c>
      <c r="P119" s="146">
        <f>P32*'Pomocná data V. PAF'!Q83</f>
        <v>15.72238353</v>
      </c>
      <c r="Q119" s="146">
        <f>Q32*'Pomocná data V. PAF'!R83</f>
        <v>56.78717141</v>
      </c>
      <c r="R119" s="146">
        <f>R32*'Pomocná data V. PAF'!S83</f>
        <v>21.71509861</v>
      </c>
      <c r="S119" s="146">
        <f>S32*'Pomocná data V. PAF'!T83</f>
        <v>7.810786115</v>
      </c>
      <c r="T119" s="146">
        <f>T32*'Pomocná data V. PAF'!U83</f>
        <v>3.009634104</v>
      </c>
      <c r="U119" s="146">
        <f>U32*'Pomocná data V. PAF'!V83</f>
        <v>13.61016877</v>
      </c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</row>
    <row r="120" ht="15.75" customHeight="1">
      <c r="A120" s="381" t="s">
        <v>454</v>
      </c>
      <c r="B120" s="146">
        <f>B33*'Pomocná data V. PAF'!C84</f>
        <v>8.666587587</v>
      </c>
      <c r="C120" s="146">
        <f>C33*'Pomocná data V. PAF'!D84</f>
        <v>0</v>
      </c>
      <c r="D120" s="146">
        <f>D33*'Pomocná data V. PAF'!E84</f>
        <v>179.923433</v>
      </c>
      <c r="E120" s="146">
        <f>E33*'Pomocná data V. PAF'!F84</f>
        <v>558.3903694</v>
      </c>
      <c r="F120" s="146">
        <f>F33*'Pomocná data V. PAF'!G84</f>
        <v>6.888732229</v>
      </c>
      <c r="G120" s="146">
        <f>G33*'Pomocná data V. PAF'!H84</f>
        <v>0</v>
      </c>
      <c r="H120" s="146">
        <f>H33*'Pomocná data V. PAF'!I84</f>
        <v>6.645376905</v>
      </c>
      <c r="I120" s="146">
        <f>I33*'Pomocná data V. PAF'!J84</f>
        <v>99</v>
      </c>
      <c r="J120" s="146">
        <f>J33*'Pomocná data V. PAF'!K84</f>
        <v>4.290800293</v>
      </c>
      <c r="K120" s="146">
        <f>K33*'Pomocná data V. PAF'!L84</f>
        <v>0</v>
      </c>
      <c r="L120" s="146">
        <f>L33*'Pomocná data V. PAF'!M84</f>
        <v>89.17180464</v>
      </c>
      <c r="M120" s="146">
        <f>M33*'Pomocná data V. PAF'!N84</f>
        <v>66.78858063</v>
      </c>
      <c r="N120" s="146">
        <f>N33*'Pomocná data V. PAF'!O84</f>
        <v>62.44038207</v>
      </c>
      <c r="O120" s="146">
        <f>O33*'Pomocná data V. PAF'!P84</f>
        <v>30.37598993</v>
      </c>
      <c r="P120" s="146">
        <f>P33*'Pomocná data V. PAF'!Q84</f>
        <v>30.03560205</v>
      </c>
      <c r="Q120" s="146">
        <f>Q33*'Pomocná data V. PAF'!R84</f>
        <v>72.2975285</v>
      </c>
      <c r="R120" s="146">
        <f>R33*'Pomocná data V. PAF'!S84</f>
        <v>55.10652236</v>
      </c>
      <c r="S120" s="146">
        <f>S33*'Pomocná data V. PAF'!T84</f>
        <v>15.55860239</v>
      </c>
      <c r="T120" s="146">
        <f>T33*'Pomocná data V. PAF'!U84</f>
        <v>12.69116138</v>
      </c>
      <c r="U120" s="146">
        <f>U33*'Pomocná data V. PAF'!V84</f>
        <v>13.45125666</v>
      </c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</row>
    <row r="121" ht="15.75" customHeight="1">
      <c r="A121" s="381" t="s">
        <v>455</v>
      </c>
      <c r="B121" s="146">
        <f>B34*'Pomocná data V. PAF'!C85</f>
        <v>8.504047242</v>
      </c>
      <c r="C121" s="146">
        <f>C34*'Pomocná data V. PAF'!D85</f>
        <v>0</v>
      </c>
      <c r="D121" s="146">
        <f>D34*'Pomocná data V. PAF'!E85</f>
        <v>262.9015582</v>
      </c>
      <c r="E121" s="146">
        <f>E34*'Pomocná data V. PAF'!F85</f>
        <v>843.729522</v>
      </c>
      <c r="F121" s="146">
        <f>F34*'Pomocná data V. PAF'!G85</f>
        <v>9.561274204</v>
      </c>
      <c r="G121" s="146">
        <f>G34*'Pomocná data V. PAF'!H85</f>
        <v>0</v>
      </c>
      <c r="H121" s="146">
        <f>H34*'Pomocná data V. PAF'!I85</f>
        <v>19.62378227</v>
      </c>
      <c r="I121" s="146">
        <f>I34*'Pomocná data V. PAF'!J85</f>
        <v>85.2</v>
      </c>
      <c r="J121" s="146">
        <f>J34*'Pomocná data V. PAF'!K85</f>
        <v>4.239112091</v>
      </c>
      <c r="K121" s="146">
        <f>K34*'Pomocná data V. PAF'!L85</f>
        <v>0</v>
      </c>
      <c r="L121" s="146">
        <f>L34*'Pomocná data V. PAF'!M85</f>
        <v>84.73067893</v>
      </c>
      <c r="M121" s="146">
        <f>M34*'Pomocná data V. PAF'!N85</f>
        <v>94.67119651</v>
      </c>
      <c r="N121" s="146">
        <f>N34*'Pomocná data V. PAF'!O85</f>
        <v>153.2468868</v>
      </c>
      <c r="O121" s="146">
        <f>O34*'Pomocná data V. PAF'!P85</f>
        <v>39.62686626</v>
      </c>
      <c r="P121" s="146">
        <f>P34*'Pomocná data V. PAF'!Q85</f>
        <v>77.717055</v>
      </c>
      <c r="Q121" s="146">
        <f>Q34*'Pomocná data V. PAF'!R85</f>
        <v>129.3803889</v>
      </c>
      <c r="R121" s="146">
        <f>R34*'Pomocná data V. PAF'!S85</f>
        <v>75.80467219</v>
      </c>
      <c r="S121" s="146">
        <f>S34*'Pomocná data V. PAF'!T85</f>
        <v>45.86355957</v>
      </c>
      <c r="T121" s="146">
        <f>T34*'Pomocná data V. PAF'!U85</f>
        <v>19.18020283</v>
      </c>
      <c r="U121" s="146">
        <f>U34*'Pomocná data V. PAF'!V85</f>
        <v>91.71191822</v>
      </c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</row>
    <row r="122" ht="15.75" customHeight="1">
      <c r="A122" s="381" t="s">
        <v>456</v>
      </c>
      <c r="B122" s="146">
        <f>B35*'Pomocná data V. PAF'!C86</f>
        <v>7.156574968</v>
      </c>
      <c r="C122" s="146">
        <f>C35*'Pomocná data V. PAF'!D86</f>
        <v>0</v>
      </c>
      <c r="D122" s="146">
        <f>D35*'Pomocná data V. PAF'!E86</f>
        <v>867.9596676</v>
      </c>
      <c r="E122" s="146">
        <f>E35*'Pomocná data V. PAF'!F86</f>
        <v>1899.143093</v>
      </c>
      <c r="F122" s="146">
        <f>F35*'Pomocná data V. PAF'!G86</f>
        <v>18.39150531</v>
      </c>
      <c r="G122" s="146">
        <f>G35*'Pomocná data V. PAF'!H86</f>
        <v>0</v>
      </c>
      <c r="H122" s="146">
        <f>H35*'Pomocná data V. PAF'!I86</f>
        <v>31.19382917</v>
      </c>
      <c r="I122" s="146">
        <f>I35*'Pomocná data V. PAF'!J86</f>
        <v>167.3</v>
      </c>
      <c r="J122" s="146">
        <f>J35*'Pomocná data V. PAF'!K86</f>
        <v>3.567421795</v>
      </c>
      <c r="K122" s="146">
        <f>K35*'Pomocná data V. PAF'!L86</f>
        <v>0</v>
      </c>
      <c r="L122" s="146">
        <f>L35*'Pomocná data V. PAF'!M86</f>
        <v>87.15060834</v>
      </c>
      <c r="M122" s="146">
        <f>M35*'Pomocná data V. PAF'!N86</f>
        <v>212.45461</v>
      </c>
      <c r="N122" s="146">
        <f>N35*'Pomocná data V. PAF'!O86</f>
        <v>186.2825029</v>
      </c>
      <c r="O122" s="146">
        <f>O35*'Pomocná data V. PAF'!P86</f>
        <v>63.43362222</v>
      </c>
      <c r="P122" s="146">
        <f>P35*'Pomocná data V. PAF'!Q86</f>
        <v>122.4814816</v>
      </c>
      <c r="Q122" s="146">
        <f>Q35*'Pomocná data V. PAF'!R86</f>
        <v>171.5684457</v>
      </c>
      <c r="R122" s="146">
        <f>R35*'Pomocná data V. PAF'!S86</f>
        <v>127.586737</v>
      </c>
      <c r="S122" s="146">
        <f>S35*'Pomocná data V. PAF'!T86</f>
        <v>83.62563356</v>
      </c>
      <c r="T122" s="146">
        <f>T35*'Pomocná data V. PAF'!U86</f>
        <v>36.31744391</v>
      </c>
      <c r="U122" s="146">
        <f>U35*'Pomocná data V. PAF'!V86</f>
        <v>165.385929</v>
      </c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</row>
    <row r="123" ht="15.75" customHeight="1">
      <c r="A123" s="381" t="s">
        <v>457</v>
      </c>
      <c r="B123" s="146">
        <f>B36*'Pomocná data V. PAF'!C87</f>
        <v>12.13391216</v>
      </c>
      <c r="C123" s="146">
        <f>C36*'Pomocná data V. PAF'!D87</f>
        <v>0</v>
      </c>
      <c r="D123" s="146">
        <f>D36*'Pomocná data V. PAF'!E87</f>
        <v>1573.65928</v>
      </c>
      <c r="E123" s="146">
        <f>E36*'Pomocná data V. PAF'!F87</f>
        <v>3133.709303</v>
      </c>
      <c r="F123" s="146">
        <f>F36*'Pomocná data V. PAF'!G87</f>
        <v>17.78060777</v>
      </c>
      <c r="G123" s="146">
        <f>G36*'Pomocná data V. PAF'!H87</f>
        <v>0</v>
      </c>
      <c r="H123" s="146">
        <f>H36*'Pomocná data V. PAF'!I87</f>
        <v>37.22050058</v>
      </c>
      <c r="I123" s="146">
        <f>I36*'Pomocná data V. PAF'!J87</f>
        <v>157.6</v>
      </c>
      <c r="J123" s="146">
        <f>J36*'Pomocná data V. PAF'!K87</f>
        <v>8.584222809</v>
      </c>
      <c r="K123" s="146">
        <f>K36*'Pomocná data V. PAF'!L87</f>
        <v>0</v>
      </c>
      <c r="L123" s="146">
        <f>L36*'Pomocná data V. PAF'!M87</f>
        <v>302.838989</v>
      </c>
      <c r="M123" s="146">
        <f>M36*'Pomocná data V. PAF'!N87</f>
        <v>253.4548827</v>
      </c>
      <c r="N123" s="146">
        <f>N36*'Pomocná data V. PAF'!O87</f>
        <v>272.6888089</v>
      </c>
      <c r="O123" s="146">
        <f>O36*'Pomocná data V. PAF'!P87</f>
        <v>46.36712058</v>
      </c>
      <c r="P123" s="146">
        <f>P36*'Pomocná data V. PAF'!Q87</f>
        <v>140.7812541</v>
      </c>
      <c r="Q123" s="146">
        <f>Q36*'Pomocná data V. PAF'!R87</f>
        <v>250.5975004</v>
      </c>
      <c r="R123" s="146">
        <f>R36*'Pomocná data V. PAF'!S87</f>
        <v>110.2422172</v>
      </c>
      <c r="S123" s="146">
        <f>S36*'Pomocná data V. PAF'!T87</f>
        <v>94.91765399</v>
      </c>
      <c r="T123" s="146">
        <f>T36*'Pomocná data V. PAF'!U87</f>
        <v>53.32667557</v>
      </c>
      <c r="U123" s="146">
        <f>U36*'Pomocná data V. PAF'!V87</f>
        <v>209.7944876</v>
      </c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</row>
    <row r="124" ht="15.75" customHeight="1">
      <c r="A124" s="381" t="s">
        <v>458</v>
      </c>
      <c r="B124" s="146">
        <f>B37*'Pomocná data V. PAF'!C88</f>
        <v>15.46076739</v>
      </c>
      <c r="C124" s="146">
        <f>C37*'Pomocná data V. PAF'!D88</f>
        <v>0</v>
      </c>
      <c r="D124" s="146">
        <f>D37*'Pomocná data V. PAF'!E88</f>
        <v>2352.686254</v>
      </c>
      <c r="E124" s="146">
        <f>E37*'Pomocná data V. PAF'!F88</f>
        <v>4011.688753</v>
      </c>
      <c r="F124" s="146">
        <f>F37*'Pomocná data V. PAF'!G88</f>
        <v>22.93731207</v>
      </c>
      <c r="G124" s="146">
        <f>G37*'Pomocná data V. PAF'!H88</f>
        <v>0</v>
      </c>
      <c r="H124" s="146">
        <f>H37*'Pomocná data V. PAF'!I88</f>
        <v>22.69036596</v>
      </c>
      <c r="I124" s="146">
        <f>I37*'Pomocná data V. PAF'!J88</f>
        <v>219.8</v>
      </c>
      <c r="J124" s="146">
        <f>J37*'Pomocná data V. PAF'!K88</f>
        <v>10.81121488</v>
      </c>
      <c r="K124" s="146">
        <f>K37*'Pomocná data V. PAF'!L88</f>
        <v>0</v>
      </c>
      <c r="L124" s="146">
        <f>L37*'Pomocná data V. PAF'!M88</f>
        <v>251.1177511</v>
      </c>
      <c r="M124" s="146">
        <f>M37*'Pomocná data V. PAF'!N88</f>
        <v>227.2949446</v>
      </c>
      <c r="N124" s="146">
        <f>N37*'Pomocná data V. PAF'!O88</f>
        <v>282.0109898</v>
      </c>
      <c r="O124" s="146">
        <f>O37*'Pomocná data V. PAF'!P88</f>
        <v>47.75260515</v>
      </c>
      <c r="P124" s="146">
        <f>P37*'Pomocná data V. PAF'!Q88</f>
        <v>138.0019782</v>
      </c>
      <c r="Q124" s="146">
        <f>Q37*'Pomocná data V. PAF'!R88</f>
        <v>263.9429828</v>
      </c>
      <c r="R124" s="146">
        <f>R37*'Pomocná data V. PAF'!S88</f>
        <v>87.65874881</v>
      </c>
      <c r="S124" s="146">
        <f>S37*'Pomocná data V. PAF'!T88</f>
        <v>70.50261858</v>
      </c>
      <c r="T124" s="146">
        <f>T37*'Pomocná data V. PAF'!U88</f>
        <v>64.64949462</v>
      </c>
      <c r="U124" s="146">
        <f>U37*'Pomocná data V. PAF'!V88</f>
        <v>335.0601518</v>
      </c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</row>
    <row r="125" ht="15.75" customHeight="1">
      <c r="A125" s="381" t="s">
        <v>459</v>
      </c>
      <c r="B125" s="146">
        <f>SUM(B38:B42)*'Pomocná data V. PAF'!C89</f>
        <v>31.93662438</v>
      </c>
      <c r="C125" s="146">
        <f>SUM(C38:C42)*'Pomocná data V. PAF'!D89</f>
        <v>0</v>
      </c>
      <c r="D125" s="146">
        <f>SUM(D38:D42)*'Pomocná data V. PAF'!E89</f>
        <v>6003.314792</v>
      </c>
      <c r="E125" s="146">
        <f>SUM(E38:E42)*'Pomocná data V. PAF'!F89</f>
        <v>13861.02712</v>
      </c>
      <c r="F125" s="146">
        <f>SUM(F38:F42)*'Pomocná data V. PAF'!G89</f>
        <v>30.61737351</v>
      </c>
      <c r="G125" s="146">
        <f>SUM(G38:G42)*'Pomocná data V. PAF'!H89</f>
        <v>0</v>
      </c>
      <c r="H125" s="146">
        <f>SUM(H38:H42)*'Pomocná data V. PAF'!I89</f>
        <v>28.50798538</v>
      </c>
      <c r="I125" s="146">
        <f>SUM(I38:I42)*'Pomocná data V. PAF'!J89</f>
        <v>115.5</v>
      </c>
      <c r="J125" s="146">
        <f>SUM(J38:J42)*'Pomocná data V. PAF'!K89</f>
        <v>19.34793487</v>
      </c>
      <c r="K125" s="146">
        <f>SUM(K38:K42)*'Pomocná data V. PAF'!L89</f>
        <v>2.749665518</v>
      </c>
      <c r="L125" s="146">
        <f>SUM(L38:L42)*'Pomocná data V. PAF'!M89</f>
        <v>566.0073543</v>
      </c>
      <c r="M125" s="146">
        <f>SUM(M38:M42)*'Pomocná data V. PAF'!N89</f>
        <v>270.8360316</v>
      </c>
      <c r="N125" s="146">
        <f>SUM(N38:N42)*'Pomocná data V. PAF'!O89</f>
        <v>396.1530697</v>
      </c>
      <c r="O125" s="146">
        <f>SUM(O38:O42)*'Pomocná data V. PAF'!P89</f>
        <v>56.88370033</v>
      </c>
      <c r="P125" s="146">
        <f>SUM(P38:P42)*'Pomocná data V. PAF'!Q89</f>
        <v>148.713875</v>
      </c>
      <c r="Q125" s="146">
        <f>SUM(Q38:Q42)*'Pomocná data V. PAF'!R89</f>
        <v>350.6407259</v>
      </c>
      <c r="R125" s="146">
        <f>SUM(R38:R42)*'Pomocná data V. PAF'!S89</f>
        <v>70.33939336</v>
      </c>
      <c r="S125" s="146">
        <f>SUM(S38:S42)*'Pomocná data V. PAF'!T89</f>
        <v>119.3820036</v>
      </c>
      <c r="T125" s="146">
        <f>SUM(T38:T42)*'Pomocná data V. PAF'!U89</f>
        <v>188.1729192</v>
      </c>
      <c r="U125" s="146">
        <f>SUM(U38:U42)*'Pomocná data V. PAF'!V89</f>
        <v>1057.846139</v>
      </c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</row>
    <row r="126" ht="15.75" customHeight="1">
      <c r="A126" s="13" t="s">
        <v>68</v>
      </c>
      <c r="B126" s="505">
        <f t="shared" ref="B126:U126" si="48">SUM(B113:B125)</f>
        <v>98.51549422</v>
      </c>
      <c r="C126" s="505">
        <f t="shared" si="48"/>
        <v>0</v>
      </c>
      <c r="D126" s="505">
        <f t="shared" si="48"/>
        <v>11402.24071</v>
      </c>
      <c r="E126" s="505">
        <f t="shared" si="48"/>
        <v>24914.31408</v>
      </c>
      <c r="F126" s="505">
        <f t="shared" si="48"/>
        <v>117.4045733</v>
      </c>
      <c r="G126" s="505">
        <f t="shared" si="48"/>
        <v>0</v>
      </c>
      <c r="H126" s="505">
        <f t="shared" si="48"/>
        <v>182.0431256</v>
      </c>
      <c r="I126" s="505">
        <f t="shared" si="48"/>
        <v>1228.1</v>
      </c>
      <c r="J126" s="505">
        <f t="shared" si="48"/>
        <v>62.98407469</v>
      </c>
      <c r="K126" s="505">
        <f t="shared" si="48"/>
        <v>2.749665518</v>
      </c>
      <c r="L126" s="505">
        <f t="shared" si="48"/>
        <v>1578.812826</v>
      </c>
      <c r="M126" s="505">
        <f t="shared" si="48"/>
        <v>1197.844255</v>
      </c>
      <c r="N126" s="505">
        <f t="shared" si="48"/>
        <v>1459.214862</v>
      </c>
      <c r="O126" s="505">
        <f t="shared" si="48"/>
        <v>345.6355824</v>
      </c>
      <c r="P126" s="505">
        <f t="shared" si="48"/>
        <v>688.8491472</v>
      </c>
      <c r="Q126" s="505">
        <f t="shared" si="48"/>
        <v>1366.636736</v>
      </c>
      <c r="R126" s="505">
        <f t="shared" si="48"/>
        <v>574.9045133</v>
      </c>
      <c r="S126" s="505">
        <f t="shared" si="48"/>
        <v>460.7108324</v>
      </c>
      <c r="T126" s="505">
        <f t="shared" si="48"/>
        <v>390.5368492</v>
      </c>
      <c r="U126" s="505">
        <f t="shared" si="48"/>
        <v>1912.274958</v>
      </c>
      <c r="V126" s="507">
        <f>SUM(B126:U126)</f>
        <v>47983.77229</v>
      </c>
      <c r="W126" s="13" t="s">
        <v>603</v>
      </c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</row>
    <row r="127" ht="15.75" customHeight="1">
      <c r="A127" s="506"/>
      <c r="B127" s="408"/>
      <c r="C127" s="408"/>
      <c r="D127" s="408"/>
      <c r="E127" s="408"/>
      <c r="F127" s="408"/>
      <c r="G127" s="408"/>
      <c r="H127" s="408"/>
      <c r="I127" s="408"/>
      <c r="J127" s="408"/>
      <c r="K127" s="408"/>
      <c r="L127" s="408"/>
      <c r="M127" s="408"/>
      <c r="N127" s="408"/>
      <c r="O127" s="408"/>
      <c r="P127" s="408"/>
      <c r="Q127" s="408"/>
      <c r="R127" s="408"/>
      <c r="S127" s="408"/>
      <c r="T127" s="408"/>
      <c r="U127" s="408"/>
      <c r="V127" s="408"/>
      <c r="W127" s="408"/>
      <c r="X127" s="408"/>
      <c r="Y127" s="408"/>
      <c r="Z127" s="408"/>
      <c r="AA127" s="408"/>
      <c r="AB127" s="408"/>
      <c r="AC127" s="408"/>
      <c r="AD127" s="408"/>
      <c r="AE127" s="408"/>
      <c r="AF127" s="408"/>
      <c r="AG127" s="408"/>
      <c r="AH127" s="408"/>
      <c r="AI127" s="408"/>
      <c r="AJ127" s="408"/>
      <c r="AK127" s="408"/>
      <c r="AL127" s="408"/>
      <c r="AM127" s="408"/>
      <c r="AN127" s="408"/>
      <c r="AO127" s="408"/>
      <c r="AP127" s="408"/>
      <c r="AQ127" s="408"/>
      <c r="AR127" s="408"/>
      <c r="AS127" s="408"/>
    </row>
    <row r="128" ht="15.75" customHeight="1">
      <c r="A128" s="499" t="s">
        <v>604</v>
      </c>
      <c r="B128" s="289"/>
      <c r="C128" s="289"/>
      <c r="D128" s="289"/>
      <c r="E128" s="289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</row>
    <row r="129" ht="15.75" customHeight="1">
      <c r="A129" s="210" t="s">
        <v>468</v>
      </c>
      <c r="B129" s="500" t="s">
        <v>288</v>
      </c>
      <c r="C129" s="500" t="s">
        <v>405</v>
      </c>
      <c r="D129" s="500" t="s">
        <v>469</v>
      </c>
      <c r="E129" s="500" t="s">
        <v>294</v>
      </c>
      <c r="F129" s="500" t="s">
        <v>296</v>
      </c>
      <c r="G129" s="500" t="s">
        <v>298</v>
      </c>
      <c r="H129" s="500" t="s">
        <v>300</v>
      </c>
      <c r="I129" s="500" t="s">
        <v>89</v>
      </c>
      <c r="J129" s="500" t="s">
        <v>303</v>
      </c>
      <c r="K129" s="500" t="s">
        <v>470</v>
      </c>
      <c r="L129" s="500" t="s">
        <v>307</v>
      </c>
      <c r="M129" s="500" t="s">
        <v>406</v>
      </c>
      <c r="N129" s="500" t="s">
        <v>311</v>
      </c>
      <c r="O129" s="500" t="s">
        <v>313</v>
      </c>
      <c r="P129" s="500" t="s">
        <v>315</v>
      </c>
      <c r="Q129" s="500" t="s">
        <v>407</v>
      </c>
      <c r="R129" s="500" t="s">
        <v>319</v>
      </c>
      <c r="S129" s="500" t="s">
        <v>321</v>
      </c>
      <c r="T129" s="500" t="s">
        <v>323</v>
      </c>
      <c r="U129" s="478" t="s">
        <v>408</v>
      </c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</row>
    <row r="130" ht="15.75" customHeight="1">
      <c r="A130" s="380" t="s">
        <v>447</v>
      </c>
      <c r="B130" s="146">
        <f>B47*'Pomocná data V. PAF'!C77</f>
        <v>0</v>
      </c>
      <c r="C130" s="146">
        <f>C47*'Pomocná data V. PAF'!D77</f>
        <v>0</v>
      </c>
      <c r="D130" s="146">
        <f>D47*'Pomocná data V. PAF'!E77</f>
        <v>0</v>
      </c>
      <c r="E130" s="146">
        <f>E47*'Pomocná data V. PAF'!F77</f>
        <v>0</v>
      </c>
      <c r="F130" s="146">
        <f>F47*'Pomocná data V. PAF'!G77</f>
        <v>0</v>
      </c>
      <c r="G130" s="146">
        <f>G47*'Pomocná data V. PAF'!H77</f>
        <v>0</v>
      </c>
      <c r="H130" s="146">
        <f>H47*'Pomocná data V. PAF'!I77</f>
        <v>0</v>
      </c>
      <c r="I130" s="146">
        <f>I47*'Pomocná data V. PAF'!J77</f>
        <v>0</v>
      </c>
      <c r="J130" s="146">
        <f>J47*'Pomocná data V. PAF'!K77</f>
        <v>0</v>
      </c>
      <c r="K130" s="146">
        <f>K47*'Pomocná data V. PAF'!L77</f>
        <v>0</v>
      </c>
      <c r="L130" s="146">
        <f>L47*'Pomocná data V. PAF'!M77</f>
        <v>0</v>
      </c>
      <c r="M130" s="146">
        <f>M47*'Pomocná data V. PAF'!N77</f>
        <v>0</v>
      </c>
      <c r="N130" s="146">
        <f>N47*'Pomocná data V. PAF'!O77</f>
        <v>0</v>
      </c>
      <c r="O130" s="146">
        <f>O47*'Pomocná data V. PAF'!P77</f>
        <v>0</v>
      </c>
      <c r="P130" s="146">
        <f>P47*'Pomocná data V. PAF'!Q77</f>
        <v>0</v>
      </c>
      <c r="Q130" s="146">
        <f>Q47*'Pomocná data V. PAF'!R77</f>
        <v>0</v>
      </c>
      <c r="R130" s="146">
        <f>R47*'Pomocná data V. PAF'!S77</f>
        <v>0</v>
      </c>
      <c r="S130" s="146">
        <f>S47*'Pomocná data V. PAF'!T77</f>
        <v>0</v>
      </c>
      <c r="T130" s="146">
        <f>T47*'Pomocná data V. PAF'!U77</f>
        <v>0.265256098</v>
      </c>
      <c r="U130" s="146">
        <f>U47*'Pomocná data V. PAF'!V77</f>
        <v>0</v>
      </c>
      <c r="V130" s="146">
        <f t="shared" ref="V130:V140" si="49">SUM(B130:U130)</f>
        <v>0.265256098</v>
      </c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</row>
    <row r="131" ht="15.75" customHeight="1">
      <c r="A131" s="380" t="s">
        <v>448</v>
      </c>
      <c r="B131" s="146">
        <f>B48*'Pomocná data V. PAF'!C78</f>
        <v>0</v>
      </c>
      <c r="C131" s="146">
        <f>C48*'Pomocná data V. PAF'!D78</f>
        <v>0</v>
      </c>
      <c r="D131" s="146">
        <f>D48*'Pomocná data V. PAF'!E78</f>
        <v>0</v>
      </c>
      <c r="E131" s="146">
        <f>E48*'Pomocná data V. PAF'!F78</f>
        <v>0</v>
      </c>
      <c r="F131" s="146">
        <f>F48*'Pomocná data V. PAF'!G78</f>
        <v>0.5346908434</v>
      </c>
      <c r="G131" s="146">
        <f>G48*'Pomocná data V. PAF'!H78</f>
        <v>0</v>
      </c>
      <c r="H131" s="146">
        <f>H48*'Pomocná data V. PAF'!I78</f>
        <v>1.78577776</v>
      </c>
      <c r="I131" s="146">
        <f>I48*'Pomocná data V. PAF'!J78</f>
        <v>0</v>
      </c>
      <c r="J131" s="146">
        <f>J48*'Pomocná data V. PAF'!K78</f>
        <v>0</v>
      </c>
      <c r="K131" s="146">
        <f>K48*'Pomocná data V. PAF'!L78</f>
        <v>0</v>
      </c>
      <c r="L131" s="146">
        <f>L48*'Pomocná data V. PAF'!M78</f>
        <v>9.919550793</v>
      </c>
      <c r="M131" s="146">
        <f>M48*'Pomocná data V. PAF'!N78</f>
        <v>0</v>
      </c>
      <c r="N131" s="146">
        <f>N48*'Pomocná data V. PAF'!O78</f>
        <v>0</v>
      </c>
      <c r="O131" s="146">
        <f>O48*'Pomocná data V. PAF'!P78</f>
        <v>0</v>
      </c>
      <c r="P131" s="146">
        <f>P48*'Pomocná data V. PAF'!Q78</f>
        <v>0</v>
      </c>
      <c r="Q131" s="146">
        <f>Q48*'Pomocná data V. PAF'!R78</f>
        <v>0</v>
      </c>
      <c r="R131" s="146">
        <f>R48*'Pomocná data V. PAF'!S78</f>
        <v>0</v>
      </c>
      <c r="S131" s="146">
        <f>S48*'Pomocná data V. PAF'!T78</f>
        <v>0</v>
      </c>
      <c r="T131" s="146">
        <f>T48*'Pomocná data V. PAF'!U78</f>
        <v>0.4681139161</v>
      </c>
      <c r="U131" s="146">
        <f>U48*'Pomocná data V. PAF'!V78</f>
        <v>0</v>
      </c>
      <c r="V131" s="146">
        <f t="shared" si="49"/>
        <v>12.70813331</v>
      </c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</row>
    <row r="132" ht="15.75" customHeight="1">
      <c r="A132" s="380" t="s">
        <v>449</v>
      </c>
      <c r="B132" s="146">
        <f>B49*'Pomocná data V. PAF'!C79</f>
        <v>3.078756619</v>
      </c>
      <c r="C132" s="146">
        <f>C49*'Pomocná data V. PAF'!D79</f>
        <v>0</v>
      </c>
      <c r="D132" s="146">
        <f>D49*'Pomocná data V. PAF'!E79</f>
        <v>0</v>
      </c>
      <c r="E132" s="146">
        <f>E49*'Pomocná data V. PAF'!F79</f>
        <v>0</v>
      </c>
      <c r="F132" s="146">
        <f>F49*'Pomocná data V. PAF'!G79</f>
        <v>0.7000423162</v>
      </c>
      <c r="G132" s="146">
        <f>G49*'Pomocná data V. PAF'!H79</f>
        <v>0</v>
      </c>
      <c r="H132" s="146">
        <f>H49*'Pomocná data V. PAF'!I79</f>
        <v>0</v>
      </c>
      <c r="I132" s="146">
        <f>I49*'Pomocná data V. PAF'!J79</f>
        <v>0</v>
      </c>
      <c r="J132" s="146">
        <f>J49*'Pomocná data V. PAF'!K79</f>
        <v>0</v>
      </c>
      <c r="K132" s="146">
        <f>K49*'Pomocná data V. PAF'!L79</f>
        <v>0</v>
      </c>
      <c r="L132" s="146">
        <f>L49*'Pomocná data V. PAF'!M79</f>
        <v>12.50316051</v>
      </c>
      <c r="M132" s="146">
        <f>M49*'Pomocná data V. PAF'!N79</f>
        <v>0</v>
      </c>
      <c r="N132" s="146">
        <f>N49*'Pomocná data V. PAF'!O79</f>
        <v>10.97217332</v>
      </c>
      <c r="O132" s="146">
        <f>O49*'Pomocná data V. PAF'!P79</f>
        <v>0.4386168253</v>
      </c>
      <c r="P132" s="146">
        <f>P49*'Pomocná data V. PAF'!Q79</f>
        <v>0</v>
      </c>
      <c r="Q132" s="146">
        <f>Q49*'Pomocná data V. PAF'!R79</f>
        <v>0</v>
      </c>
      <c r="R132" s="146">
        <f>R49*'Pomocná data V. PAF'!S79</f>
        <v>1.732874463</v>
      </c>
      <c r="S132" s="146">
        <f>S49*'Pomocná data V. PAF'!T79</f>
        <v>0</v>
      </c>
      <c r="T132" s="146">
        <f>T49*'Pomocná data V. PAF'!U79</f>
        <v>0.6130450256</v>
      </c>
      <c r="U132" s="146">
        <f>U49*'Pomocná data V. PAF'!V79</f>
        <v>0</v>
      </c>
      <c r="V132" s="146">
        <f t="shared" si="49"/>
        <v>30.03866908</v>
      </c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</row>
    <row r="133" ht="15.75" customHeight="1">
      <c r="A133" s="380" t="s">
        <v>450</v>
      </c>
      <c r="B133" s="146">
        <f>B50*'Pomocná data V. PAF'!C80</f>
        <v>0</v>
      </c>
      <c r="C133" s="146">
        <f>C50*'Pomocná data V. PAF'!D80</f>
        <v>0</v>
      </c>
      <c r="D133" s="146">
        <f>D50*'Pomocná data V. PAF'!E80</f>
        <v>0</v>
      </c>
      <c r="E133" s="146">
        <f>E50*'Pomocná data V. PAF'!F80</f>
        <v>16.76174884</v>
      </c>
      <c r="F133" s="146">
        <f>F50*'Pomocná data V. PAF'!G80</f>
        <v>0</v>
      </c>
      <c r="G133" s="146">
        <f>G50*'Pomocná data V. PAF'!H80</f>
        <v>0</v>
      </c>
      <c r="H133" s="146">
        <f>H50*'Pomocná data V. PAF'!I80</f>
        <v>2.967484073</v>
      </c>
      <c r="I133" s="146">
        <f>I50*'Pomocná data V. PAF'!J80</f>
        <v>0</v>
      </c>
      <c r="J133" s="146">
        <f>J50*'Pomocná data V. PAF'!K80</f>
        <v>1.891359977</v>
      </c>
      <c r="K133" s="146">
        <f>K50*'Pomocná data V. PAF'!L80</f>
        <v>0</v>
      </c>
      <c r="L133" s="146">
        <f>L50*'Pomocná data V. PAF'!M80</f>
        <v>0</v>
      </c>
      <c r="M133" s="146">
        <f>M50*'Pomocná data V. PAF'!N80</f>
        <v>0</v>
      </c>
      <c r="N133" s="146">
        <f>N50*'Pomocná data V. PAF'!O80</f>
        <v>0</v>
      </c>
      <c r="O133" s="146">
        <f>O50*'Pomocná data V. PAF'!P80</f>
        <v>1.505606136</v>
      </c>
      <c r="P133" s="146">
        <f>P50*'Pomocná data V. PAF'!Q80</f>
        <v>0</v>
      </c>
      <c r="Q133" s="146">
        <f>Q50*'Pomocná data V. PAF'!R80</f>
        <v>5.546930055</v>
      </c>
      <c r="R133" s="146">
        <f>R50*'Pomocná data V. PAF'!S80</f>
        <v>2.21696212</v>
      </c>
      <c r="S133" s="146">
        <f>S50*'Pomocná data V. PAF'!T80</f>
        <v>3.495814307</v>
      </c>
      <c r="T133" s="146">
        <f>T50*'Pomocná data V. PAF'!U80</f>
        <v>0.7884777628</v>
      </c>
      <c r="U133" s="146">
        <f>U50*'Pomocná data V. PAF'!V80</f>
        <v>6.242185673</v>
      </c>
      <c r="V133" s="146">
        <f t="shared" si="49"/>
        <v>41.41656895</v>
      </c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</row>
    <row r="134" ht="15.75" customHeight="1">
      <c r="A134" s="380" t="s">
        <v>451</v>
      </c>
      <c r="B134" s="146">
        <f>B51*'Pomocná data V. PAF'!C81</f>
        <v>5.117061346</v>
      </c>
      <c r="C134" s="146">
        <f>C51*'Pomocná data V. PAF'!D81</f>
        <v>0</v>
      </c>
      <c r="D134" s="146">
        <f>D51*'Pomocná data V. PAF'!E81</f>
        <v>46.73824501</v>
      </c>
      <c r="E134" s="146">
        <f>E51*'Pomocná data V. PAF'!F81</f>
        <v>47.17080866</v>
      </c>
      <c r="F134" s="146">
        <f>F51*'Pomocná data V. PAF'!G81</f>
        <v>1.200314919</v>
      </c>
      <c r="G134" s="146">
        <f>G51*'Pomocná data V. PAF'!H81</f>
        <v>0</v>
      </c>
      <c r="H134" s="146">
        <f>H51*'Pomocná data V. PAF'!I81</f>
        <v>3.90385509</v>
      </c>
      <c r="I134" s="146">
        <f>I51*'Pomocná data V. PAF'!J81</f>
        <v>75.6</v>
      </c>
      <c r="J134" s="146">
        <f>J51*'Pomocná data V. PAF'!K81</f>
        <v>0</v>
      </c>
      <c r="K134" s="146">
        <f>K51*'Pomocná data V. PAF'!L81</f>
        <v>0</v>
      </c>
      <c r="L134" s="146">
        <f>L51*'Pomocná data V. PAF'!M81</f>
        <v>18.5297568</v>
      </c>
      <c r="M134" s="146">
        <f>M51*'Pomocná data V. PAF'!N81</f>
        <v>0</v>
      </c>
      <c r="N134" s="146">
        <f>N51*'Pomocná data V. PAF'!O81</f>
        <v>16.5521082</v>
      </c>
      <c r="O134" s="146">
        <f>O51*'Pomocná data V. PAF'!P81</f>
        <v>4.779704645</v>
      </c>
      <c r="P134" s="146">
        <f>P51*'Pomocná data V. PAF'!Q81</f>
        <v>2.505909084</v>
      </c>
      <c r="Q134" s="146">
        <f>Q51*'Pomocná data V. PAF'!R81</f>
        <v>14.3509081</v>
      </c>
      <c r="R134" s="146">
        <f>R51*'Pomocná data V. PAF'!S81</f>
        <v>2.930983659</v>
      </c>
      <c r="S134" s="146">
        <f>S51*'Pomocná data V. PAF'!T81</f>
        <v>4.582965932</v>
      </c>
      <c r="T134" s="146">
        <f>T51*'Pomocná data V. PAF'!U81</f>
        <v>2.104728253</v>
      </c>
      <c r="U134" s="146">
        <f>U51*'Pomocná data V. PAF'!V81</f>
        <v>0</v>
      </c>
      <c r="V134" s="146">
        <f t="shared" si="49"/>
        <v>246.0673497</v>
      </c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</row>
    <row r="135" ht="15.75" customHeight="1">
      <c r="A135" s="380" t="s">
        <v>452</v>
      </c>
      <c r="B135" s="146">
        <f>B52*'Pomocná data V. PAF'!C82</f>
        <v>0</v>
      </c>
      <c r="C135" s="146">
        <f>C52*'Pomocná data V. PAF'!D82</f>
        <v>0</v>
      </c>
      <c r="D135" s="146">
        <f>D52*'Pomocná data V. PAF'!E82</f>
        <v>0</v>
      </c>
      <c r="E135" s="146">
        <f>E52*'Pomocná data V. PAF'!F82</f>
        <v>57.21616036</v>
      </c>
      <c r="F135" s="146">
        <f>F52*'Pomocná data V. PAF'!G82</f>
        <v>1.040309265</v>
      </c>
      <c r="G135" s="146">
        <f>G52*'Pomocná data V. PAF'!H82</f>
        <v>0</v>
      </c>
      <c r="H135" s="146">
        <f>H52*'Pomocná data V. PAF'!I82</f>
        <v>6.747004108</v>
      </c>
      <c r="I135" s="146">
        <f>I52*'Pomocná data V. PAF'!J82</f>
        <v>60.6</v>
      </c>
      <c r="J135" s="146">
        <f>J52*'Pomocná data V. PAF'!K82</f>
        <v>2.168772398</v>
      </c>
      <c r="K135" s="146">
        <f>K52*'Pomocná data V. PAF'!L82</f>
        <v>0</v>
      </c>
      <c r="L135" s="146">
        <f>L52*'Pomocná data V. PAF'!M82</f>
        <v>26.26914207</v>
      </c>
      <c r="M135" s="146">
        <f>M52*'Pomocná data V. PAF'!N82</f>
        <v>17.83409511</v>
      </c>
      <c r="N135" s="146">
        <f>N52*'Pomocná data V. PAF'!O82</f>
        <v>14.10918692</v>
      </c>
      <c r="O135" s="146">
        <f>O52*'Pomocná data V. PAF'!P82</f>
        <v>10.47049707</v>
      </c>
      <c r="P135" s="146">
        <f>P52*'Pomocná data V. PAF'!Q82</f>
        <v>5.060468928</v>
      </c>
      <c r="Q135" s="146">
        <f>Q52*'Pomocná data V. PAF'!R82</f>
        <v>16.47636951</v>
      </c>
      <c r="R135" s="146">
        <f>R52*'Pomocná data V. PAF'!S82</f>
        <v>6.761290323</v>
      </c>
      <c r="S135" s="146">
        <f>S52*'Pomocná data V. PAF'!T82</f>
        <v>3.957427717</v>
      </c>
      <c r="T135" s="146">
        <f>T52*'Pomocná data V. PAF'!U82</f>
        <v>2.736684341</v>
      </c>
      <c r="U135" s="146">
        <f>U52*'Pomocná data V. PAF'!V82</f>
        <v>6.915463096</v>
      </c>
      <c r="V135" s="146">
        <f t="shared" si="49"/>
        <v>238.3628712</v>
      </c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</row>
    <row r="136" ht="15.75" customHeight="1">
      <c r="A136" s="380" t="s">
        <v>453</v>
      </c>
      <c r="B136" s="146">
        <f>B53*'Pomocná data V. PAF'!C83</f>
        <v>0</v>
      </c>
      <c r="C136" s="146">
        <f>C53*'Pomocná data V. PAF'!D83</f>
        <v>0</v>
      </c>
      <c r="D136" s="146">
        <f>D53*'Pomocná data V. PAF'!E83</f>
        <v>29.63511341</v>
      </c>
      <c r="E136" s="146">
        <f>E53*'Pomocná data V. PAF'!F83</f>
        <v>147.9650069</v>
      </c>
      <c r="F136" s="146">
        <f>F53*'Pomocná data V. PAF'!G83</f>
        <v>1.931962245</v>
      </c>
      <c r="G136" s="146">
        <f>G53*'Pomocná data V. PAF'!H83</f>
        <v>0</v>
      </c>
      <c r="H136" s="146">
        <f>H53*'Pomocná data V. PAF'!I83</f>
        <v>2.678919255</v>
      </c>
      <c r="I136" s="146">
        <f>I53*'Pomocná data V. PAF'!J83</f>
        <v>45.6</v>
      </c>
      <c r="J136" s="146">
        <f>J53*'Pomocná data V. PAF'!K83</f>
        <v>1.724244081</v>
      </c>
      <c r="K136" s="146">
        <f>K53*'Pomocná data V. PAF'!L83</f>
        <v>0</v>
      </c>
      <c r="L136" s="146">
        <f>L53*'Pomocná data V. PAF'!M83</f>
        <v>28.85905841</v>
      </c>
      <c r="M136" s="146">
        <f>M53*'Pomocná data V. PAF'!N83</f>
        <v>13.96690688</v>
      </c>
      <c r="N136" s="146">
        <f>N53*'Pomocná data V. PAF'!O83</f>
        <v>11.08909993</v>
      </c>
      <c r="O136" s="146">
        <f>O53*'Pomocná data V. PAF'!P83</f>
        <v>10.76811191</v>
      </c>
      <c r="P136" s="146">
        <f>P53*'Pomocná data V. PAF'!Q83</f>
        <v>6.322228298</v>
      </c>
      <c r="Q136" s="146">
        <f>Q53*'Pomocná data V. PAF'!R83</f>
        <v>22.83505306</v>
      </c>
      <c r="R136" s="146">
        <f>R53*'Pomocná data V. PAF'!S83</f>
        <v>8.731997324</v>
      </c>
      <c r="S136" s="146">
        <f>S53*'Pomocná data V. PAF'!T83</f>
        <v>3.14084521</v>
      </c>
      <c r="T136" s="146">
        <f>T53*'Pomocná data V. PAF'!U83</f>
        <v>1.210223238</v>
      </c>
      <c r="U136" s="146">
        <f>U53*'Pomocná data V. PAF'!V83</f>
        <v>5.472872096</v>
      </c>
      <c r="V136" s="146">
        <f t="shared" si="49"/>
        <v>341.9316422</v>
      </c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</row>
    <row r="137" ht="15.75" customHeight="1">
      <c r="A137" s="380" t="s">
        <v>454</v>
      </c>
      <c r="B137" s="146">
        <f>B54*'Pomocná data V. PAF'!C84</f>
        <v>2.678763436</v>
      </c>
      <c r="C137" s="146">
        <f>C54*'Pomocná data V. PAF'!D84</f>
        <v>0</v>
      </c>
      <c r="D137" s="146">
        <f>D54*'Pomocná data V. PAF'!E84</f>
        <v>55.61269747</v>
      </c>
      <c r="E137" s="146">
        <f>E54*'Pomocná data V. PAF'!F84</f>
        <v>172.5933869</v>
      </c>
      <c r="F137" s="146">
        <f>F54*'Pomocná data V. PAF'!G84</f>
        <v>2.129244507</v>
      </c>
      <c r="G137" s="146">
        <f>G54*'Pomocná data V. PAF'!H84</f>
        <v>0</v>
      </c>
      <c r="H137" s="146">
        <f>H54*'Pomocná data V. PAF'!I84</f>
        <v>2.054025589</v>
      </c>
      <c r="I137" s="146">
        <f>I54*'Pomocná data V. PAF'!J84</f>
        <v>30.6</v>
      </c>
      <c r="J137" s="146">
        <f>J54*'Pomocná data V. PAF'!K84</f>
        <v>1.326247363</v>
      </c>
      <c r="K137" s="146">
        <f>K54*'Pomocná data V. PAF'!L84</f>
        <v>0</v>
      </c>
      <c r="L137" s="146">
        <f>L54*'Pomocná data V. PAF'!M84</f>
        <v>27.56219416</v>
      </c>
      <c r="M137" s="146">
        <f>M54*'Pomocná data V. PAF'!N84</f>
        <v>20.6437431</v>
      </c>
      <c r="N137" s="146">
        <f>N54*'Pomocná data V. PAF'!O84</f>
        <v>19.29975446</v>
      </c>
      <c r="O137" s="146">
        <f>O54*'Pomocná data V. PAF'!P84</f>
        <v>9.388942343</v>
      </c>
      <c r="P137" s="146">
        <f>P54*'Pomocná data V. PAF'!Q84</f>
        <v>9.283731542</v>
      </c>
      <c r="Q137" s="146">
        <f>Q54*'Pomocná data V. PAF'!R84</f>
        <v>22.34650881</v>
      </c>
      <c r="R137" s="146">
        <f>R54*'Pomocná data V. PAF'!S84</f>
        <v>17.03292509</v>
      </c>
      <c r="S137" s="146">
        <f>S54*'Pomocná data V. PAF'!T84</f>
        <v>4.809022556</v>
      </c>
      <c r="T137" s="146">
        <f>T54*'Pomocná data V. PAF'!U84</f>
        <v>3.92272261</v>
      </c>
      <c r="U137" s="146">
        <f>U54*'Pomocná data V. PAF'!V84</f>
        <v>4.157661149</v>
      </c>
      <c r="V137" s="146">
        <f t="shared" si="49"/>
        <v>405.4415711</v>
      </c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</row>
    <row r="138" ht="15.75" customHeight="1">
      <c r="A138" s="380" t="s">
        <v>455</v>
      </c>
      <c r="B138" s="146">
        <f>B55*'Pomocná data V. PAF'!C85</f>
        <v>1.557079072</v>
      </c>
      <c r="C138" s="146">
        <f>C55*'Pomocná data V. PAF'!D85</f>
        <v>0</v>
      </c>
      <c r="D138" s="146">
        <f>D55*'Pomocná data V. PAF'!E85</f>
        <v>48.13690502</v>
      </c>
      <c r="E138" s="146">
        <f>E55*'Pomocná data V. PAF'!F85</f>
        <v>154.4856871</v>
      </c>
      <c r="F138" s="146">
        <f>F55*'Pomocná data V. PAF'!G85</f>
        <v>1.75065584</v>
      </c>
      <c r="G138" s="146">
        <f>G55*'Pomocná data V. PAF'!H85</f>
        <v>0</v>
      </c>
      <c r="H138" s="146">
        <f>H55*'Pomocná data V. PAF'!I85</f>
        <v>3.593086894</v>
      </c>
      <c r="I138" s="146">
        <f>I55*'Pomocná data V. PAF'!J85</f>
        <v>15.6</v>
      </c>
      <c r="J138" s="146">
        <f>J55*'Pomocná data V. PAF'!K85</f>
        <v>0.7761754533</v>
      </c>
      <c r="K138" s="146">
        <f>K55*'Pomocná data V. PAF'!L85</f>
        <v>0</v>
      </c>
      <c r="L138" s="146">
        <f>L55*'Pomocná data V. PAF'!M85</f>
        <v>15.51406797</v>
      </c>
      <c r="M138" s="146">
        <f>M55*'Pomocná data V. PAF'!N85</f>
        <v>17.33416274</v>
      </c>
      <c r="N138" s="146">
        <f>N55*'Pomocná data V. PAF'!O85</f>
        <v>28.05928914</v>
      </c>
      <c r="O138" s="146">
        <f>O55*'Pomocná data V. PAF'!P85</f>
        <v>7.2556234</v>
      </c>
      <c r="P138" s="146">
        <f>P55*'Pomocná data V. PAF'!Q85</f>
        <v>14.22988331</v>
      </c>
      <c r="Q138" s="146">
        <f>Q55*'Pomocná data V. PAF'!R85</f>
        <v>23.68936698</v>
      </c>
      <c r="R138" s="146">
        <f>R55*'Pomocná data V. PAF'!S85</f>
        <v>13.87972871</v>
      </c>
      <c r="S138" s="146">
        <f>S55*'Pomocná data V. PAF'!T85</f>
        <v>8.397553161</v>
      </c>
      <c r="T138" s="146">
        <f>T55*'Pomocná data V. PAF'!U85</f>
        <v>3.511868123</v>
      </c>
      <c r="U138" s="146">
        <f>U55*'Pomocná data V. PAF'!V85</f>
        <v>16.79232305</v>
      </c>
      <c r="V138" s="146">
        <f t="shared" si="49"/>
        <v>374.563456</v>
      </c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</row>
    <row r="139" ht="15.75" customHeight="1">
      <c r="A139" s="380" t="s">
        <v>456</v>
      </c>
      <c r="B139" s="146">
        <f>B56*'Pomocná data V. PAF'!C86</f>
        <v>0.05988765663</v>
      </c>
      <c r="C139" s="146">
        <f>C56*'Pomocná data V. PAF'!D86</f>
        <v>0</v>
      </c>
      <c r="D139" s="146">
        <f>D56*'Pomocná data V. PAF'!E86</f>
        <v>7.263260817</v>
      </c>
      <c r="E139" s="146">
        <f>E56*'Pomocná data V. PAF'!F86</f>
        <v>15.89241082</v>
      </c>
      <c r="F139" s="146">
        <f>F56*'Pomocná data V. PAF'!G86</f>
        <v>0.1539038101</v>
      </c>
      <c r="G139" s="146">
        <f>G56*'Pomocná data V. PAF'!H86</f>
        <v>0</v>
      </c>
      <c r="H139" s="146">
        <f>H56*'Pomocná data V. PAF'!I86</f>
        <v>0.2610362273</v>
      </c>
      <c r="I139" s="146">
        <f>I56*'Pomocná data V. PAF'!J86</f>
        <v>1.4</v>
      </c>
      <c r="J139" s="146">
        <f>J56*'Pomocná data V. PAF'!K86</f>
        <v>0.02985290205</v>
      </c>
      <c r="K139" s="146">
        <f>K56*'Pomocná data V. PAF'!L86</f>
        <v>0</v>
      </c>
      <c r="L139" s="146">
        <f>L56*'Pomocná data V. PAF'!M86</f>
        <v>0.7292937936</v>
      </c>
      <c r="M139" s="146">
        <f>M56*'Pomocná data V. PAF'!N86</f>
        <v>1.777862845</v>
      </c>
      <c r="N139" s="146">
        <f>N56*'Pomocná data V. PAF'!O86</f>
        <v>1.558849396</v>
      </c>
      <c r="O139" s="146">
        <f>O56*'Pomocná data V. PAF'!P86</f>
        <v>0.5308252905</v>
      </c>
      <c r="P139" s="146">
        <f>P56*'Pomocná data V. PAF'!Q86</f>
        <v>1.024949637</v>
      </c>
      <c r="Q139" s="146">
        <f>Q56*'Pomocná data V. PAF'!R86</f>
        <v>1.435719211</v>
      </c>
      <c r="R139" s="146">
        <f>R56*'Pomocná data V. PAF'!S86</f>
        <v>1.067671439</v>
      </c>
      <c r="S139" s="146">
        <f>S56*'Pomocná data V. PAF'!T86</f>
        <v>0.6997960967</v>
      </c>
      <c r="T139" s="146">
        <f>T56*'Pomocná data V. PAF'!U86</f>
        <v>0.3039116645</v>
      </c>
      <c r="U139" s="146">
        <f>U56*'Pomocná data V. PAF'!V86</f>
        <v>1.383982669</v>
      </c>
      <c r="V139" s="146">
        <f t="shared" si="49"/>
        <v>35.57321427</v>
      </c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</row>
    <row r="140" ht="15.75" customHeight="1">
      <c r="A140" s="13" t="s">
        <v>68</v>
      </c>
      <c r="B140" s="505">
        <f t="shared" ref="B140:U140" si="50">SUM(B130:B139)</f>
        <v>12.49154813</v>
      </c>
      <c r="C140" s="505">
        <f t="shared" si="50"/>
        <v>0</v>
      </c>
      <c r="D140" s="505">
        <f t="shared" si="50"/>
        <v>187.3862217</v>
      </c>
      <c r="E140" s="505">
        <f t="shared" si="50"/>
        <v>612.0852096</v>
      </c>
      <c r="F140" s="505">
        <f t="shared" si="50"/>
        <v>9.441123746</v>
      </c>
      <c r="G140" s="505">
        <f t="shared" si="50"/>
        <v>0</v>
      </c>
      <c r="H140" s="505">
        <f t="shared" si="50"/>
        <v>23.991189</v>
      </c>
      <c r="I140" s="505">
        <f t="shared" si="50"/>
        <v>229.4</v>
      </c>
      <c r="J140" s="505">
        <f t="shared" si="50"/>
        <v>7.916652175</v>
      </c>
      <c r="K140" s="505">
        <f t="shared" si="50"/>
        <v>0</v>
      </c>
      <c r="L140" s="505">
        <f t="shared" si="50"/>
        <v>139.8862245</v>
      </c>
      <c r="M140" s="505">
        <f t="shared" si="50"/>
        <v>71.55677068</v>
      </c>
      <c r="N140" s="505">
        <f t="shared" si="50"/>
        <v>101.6404614</v>
      </c>
      <c r="O140" s="505">
        <f t="shared" si="50"/>
        <v>45.13792762</v>
      </c>
      <c r="P140" s="505">
        <f t="shared" si="50"/>
        <v>38.4271708</v>
      </c>
      <c r="Q140" s="505">
        <f t="shared" si="50"/>
        <v>106.6808557</v>
      </c>
      <c r="R140" s="505">
        <f t="shared" si="50"/>
        <v>54.35443313</v>
      </c>
      <c r="S140" s="505">
        <f t="shared" si="50"/>
        <v>29.08342498</v>
      </c>
      <c r="T140" s="505">
        <f t="shared" si="50"/>
        <v>15.92503103</v>
      </c>
      <c r="U140" s="505">
        <f t="shared" si="50"/>
        <v>40.96448774</v>
      </c>
      <c r="V140" s="507">
        <f t="shared" si="49"/>
        <v>1726.368732</v>
      </c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</row>
    <row r="141" ht="15.75" customHeight="1">
      <c r="A141" s="506"/>
      <c r="B141" s="408"/>
      <c r="C141" s="408"/>
      <c r="D141" s="408"/>
      <c r="E141" s="408"/>
      <c r="F141" s="408"/>
      <c r="G141" s="408"/>
      <c r="H141" s="408"/>
      <c r="I141" s="408"/>
      <c r="J141" s="408"/>
      <c r="K141" s="408"/>
      <c r="L141" s="408"/>
      <c r="M141" s="408"/>
      <c r="N141" s="408"/>
      <c r="O141" s="408"/>
      <c r="P141" s="408"/>
      <c r="Q141" s="408"/>
      <c r="R141" s="408"/>
      <c r="S141" s="408"/>
      <c r="T141" s="408"/>
      <c r="U141" s="408"/>
      <c r="V141" s="408"/>
      <c r="W141" s="408"/>
      <c r="X141" s="408"/>
      <c r="Y141" s="408"/>
      <c r="Z141" s="408"/>
      <c r="AA141" s="408"/>
      <c r="AB141" s="408"/>
      <c r="AC141" s="408"/>
      <c r="AD141" s="408"/>
      <c r="AE141" s="408"/>
      <c r="AF141" s="408"/>
      <c r="AG141" s="408"/>
      <c r="AH141" s="408"/>
      <c r="AI141" s="408"/>
      <c r="AJ141" s="408"/>
      <c r="AK141" s="408"/>
      <c r="AL141" s="408"/>
      <c r="AM141" s="408"/>
      <c r="AN141" s="408"/>
      <c r="AO141" s="408"/>
      <c r="AP141" s="408"/>
      <c r="AQ141" s="408"/>
      <c r="AR141" s="408"/>
      <c r="AS141" s="408"/>
    </row>
    <row r="142" ht="15.75" customHeight="1">
      <c r="A142" s="376" t="s">
        <v>605</v>
      </c>
      <c r="D142" s="376"/>
      <c r="E142" s="376"/>
      <c r="F142" s="376"/>
      <c r="G142" s="376"/>
      <c r="H142" s="376"/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  <c r="AA142" s="376"/>
      <c r="AB142" s="376"/>
      <c r="AC142" s="376"/>
      <c r="AD142" s="376"/>
      <c r="AE142" s="376"/>
      <c r="AF142" s="376"/>
      <c r="AG142" s="376"/>
      <c r="AH142" s="376"/>
      <c r="AI142" s="376"/>
      <c r="AJ142" s="376"/>
      <c r="AK142" s="376"/>
      <c r="AL142" s="376"/>
      <c r="AM142" s="376"/>
      <c r="AN142" s="376"/>
      <c r="AO142" s="376"/>
      <c r="AP142" s="376"/>
      <c r="AQ142" s="376"/>
      <c r="AR142" s="376"/>
      <c r="AS142" s="376"/>
    </row>
    <row r="143" ht="15.75" customHeight="1">
      <c r="A143" s="262" t="s">
        <v>468</v>
      </c>
      <c r="B143" s="504" t="s">
        <v>288</v>
      </c>
      <c r="C143" s="504" t="s">
        <v>405</v>
      </c>
      <c r="D143" s="504" t="s">
        <v>469</v>
      </c>
      <c r="E143" s="504" t="s">
        <v>294</v>
      </c>
      <c r="F143" s="504" t="s">
        <v>296</v>
      </c>
      <c r="G143" s="504" t="s">
        <v>298</v>
      </c>
      <c r="H143" s="504" t="s">
        <v>300</v>
      </c>
      <c r="I143" s="504" t="s">
        <v>89</v>
      </c>
      <c r="J143" s="504" t="s">
        <v>303</v>
      </c>
      <c r="K143" s="504" t="s">
        <v>470</v>
      </c>
      <c r="L143" s="504" t="s">
        <v>307</v>
      </c>
      <c r="M143" s="504" t="s">
        <v>406</v>
      </c>
      <c r="N143" s="504" t="s">
        <v>311</v>
      </c>
      <c r="O143" s="504" t="s">
        <v>313</v>
      </c>
      <c r="P143" s="504" t="s">
        <v>315</v>
      </c>
      <c r="Q143" s="504" t="s">
        <v>407</v>
      </c>
      <c r="R143" s="504" t="s">
        <v>319</v>
      </c>
      <c r="S143" s="504" t="s">
        <v>321</v>
      </c>
      <c r="T143" s="504" t="s">
        <v>323</v>
      </c>
      <c r="U143" s="504" t="s">
        <v>408</v>
      </c>
      <c r="V143" s="198"/>
      <c r="W143" s="14"/>
      <c r="X143" s="14"/>
      <c r="Y143" s="14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</row>
    <row r="144" ht="15.75" customHeight="1">
      <c r="A144" s="381" t="s">
        <v>447</v>
      </c>
      <c r="B144" s="149">
        <f t="shared" ref="B144:U144" si="51">B113-B130</f>
        <v>0</v>
      </c>
      <c r="C144" s="149">
        <f t="shared" si="51"/>
        <v>0</v>
      </c>
      <c r="D144" s="149">
        <f t="shared" si="51"/>
        <v>0</v>
      </c>
      <c r="E144" s="149">
        <f t="shared" si="51"/>
        <v>0</v>
      </c>
      <c r="F144" s="149">
        <f t="shared" si="51"/>
        <v>0</v>
      </c>
      <c r="G144" s="149">
        <f t="shared" si="51"/>
        <v>0</v>
      </c>
      <c r="H144" s="149">
        <f t="shared" si="51"/>
        <v>0</v>
      </c>
      <c r="I144" s="149">
        <f t="shared" si="51"/>
        <v>0</v>
      </c>
      <c r="J144" s="149">
        <f t="shared" si="51"/>
        <v>0</v>
      </c>
      <c r="K144" s="149">
        <f t="shared" si="51"/>
        <v>0</v>
      </c>
      <c r="L144" s="149">
        <f t="shared" si="51"/>
        <v>0</v>
      </c>
      <c r="M144" s="149">
        <f t="shared" si="51"/>
        <v>0</v>
      </c>
      <c r="N144" s="149">
        <f t="shared" si="51"/>
        <v>0</v>
      </c>
      <c r="O144" s="149">
        <f t="shared" si="51"/>
        <v>0</v>
      </c>
      <c r="P144" s="149">
        <f t="shared" si="51"/>
        <v>0</v>
      </c>
      <c r="Q144" s="149">
        <f t="shared" si="51"/>
        <v>0</v>
      </c>
      <c r="R144" s="149">
        <f t="shared" si="51"/>
        <v>0</v>
      </c>
      <c r="S144" s="149">
        <f t="shared" si="51"/>
        <v>0</v>
      </c>
      <c r="T144" s="149">
        <f t="shared" si="51"/>
        <v>0.09506966346</v>
      </c>
      <c r="U144" s="149">
        <f t="shared" si="51"/>
        <v>0</v>
      </c>
      <c r="V144" s="198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</row>
    <row r="145" ht="15.75" customHeight="1">
      <c r="A145" s="381" t="s">
        <v>448</v>
      </c>
      <c r="B145" s="149">
        <f t="shared" ref="B145:U145" si="52">B114-B131</f>
        <v>0</v>
      </c>
      <c r="C145" s="149">
        <f t="shared" si="52"/>
        <v>0</v>
      </c>
      <c r="D145" s="149">
        <f t="shared" si="52"/>
        <v>0</v>
      </c>
      <c r="E145" s="149">
        <f t="shared" si="52"/>
        <v>0</v>
      </c>
      <c r="F145" s="149">
        <f t="shared" si="52"/>
        <v>0.2926168795</v>
      </c>
      <c r="G145" s="149">
        <f t="shared" si="52"/>
        <v>0</v>
      </c>
      <c r="H145" s="149">
        <f t="shared" si="52"/>
        <v>0.9772913116</v>
      </c>
      <c r="I145" s="149">
        <f t="shared" si="52"/>
        <v>0</v>
      </c>
      <c r="J145" s="149">
        <f t="shared" si="52"/>
        <v>0</v>
      </c>
      <c r="K145" s="149">
        <f t="shared" si="52"/>
        <v>0</v>
      </c>
      <c r="L145" s="149">
        <f t="shared" si="52"/>
        <v>5.428609887</v>
      </c>
      <c r="M145" s="149">
        <f t="shared" si="52"/>
        <v>0</v>
      </c>
      <c r="N145" s="149">
        <f t="shared" si="52"/>
        <v>0</v>
      </c>
      <c r="O145" s="149">
        <f t="shared" si="52"/>
        <v>0</v>
      </c>
      <c r="P145" s="149">
        <f t="shared" si="52"/>
        <v>0</v>
      </c>
      <c r="Q145" s="149">
        <f t="shared" si="52"/>
        <v>0</v>
      </c>
      <c r="R145" s="149">
        <f t="shared" si="52"/>
        <v>0</v>
      </c>
      <c r="S145" s="149">
        <f t="shared" si="52"/>
        <v>0</v>
      </c>
      <c r="T145" s="149">
        <f t="shared" si="52"/>
        <v>0.2561817451</v>
      </c>
      <c r="U145" s="149">
        <f t="shared" si="52"/>
        <v>0</v>
      </c>
      <c r="V145" s="198"/>
      <c r="W145" s="14"/>
      <c r="X145" s="14"/>
      <c r="Y145" s="14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</row>
    <row r="146" ht="15.75" customHeight="1">
      <c r="A146" s="381" t="s">
        <v>449</v>
      </c>
      <c r="B146" s="149">
        <f t="shared" ref="B146:U146" si="53">B115-B132</f>
        <v>1.932969355</v>
      </c>
      <c r="C146" s="149">
        <f t="shared" si="53"/>
        <v>0</v>
      </c>
      <c r="D146" s="149">
        <f t="shared" si="53"/>
        <v>0</v>
      </c>
      <c r="E146" s="149">
        <f t="shared" si="53"/>
        <v>0</v>
      </c>
      <c r="F146" s="149">
        <f t="shared" si="53"/>
        <v>0.4395152042</v>
      </c>
      <c r="G146" s="149">
        <f t="shared" si="53"/>
        <v>0</v>
      </c>
      <c r="H146" s="149">
        <f t="shared" si="53"/>
        <v>0</v>
      </c>
      <c r="I146" s="149">
        <f t="shared" si="53"/>
        <v>0</v>
      </c>
      <c r="J146" s="149">
        <f t="shared" si="53"/>
        <v>0</v>
      </c>
      <c r="K146" s="149">
        <f t="shared" si="53"/>
        <v>0</v>
      </c>
      <c r="L146" s="149">
        <f t="shared" si="53"/>
        <v>7.849995664</v>
      </c>
      <c r="M146" s="149">
        <f t="shared" si="53"/>
        <v>0</v>
      </c>
      <c r="N146" s="149">
        <f t="shared" si="53"/>
        <v>6.88877927</v>
      </c>
      <c r="O146" s="149">
        <f t="shared" si="53"/>
        <v>0.2753815863</v>
      </c>
      <c r="P146" s="149">
        <f t="shared" si="53"/>
        <v>0</v>
      </c>
      <c r="Q146" s="149">
        <f t="shared" si="53"/>
        <v>0</v>
      </c>
      <c r="R146" s="149">
        <f t="shared" si="53"/>
        <v>1.087969478</v>
      </c>
      <c r="S146" s="149">
        <f t="shared" si="53"/>
        <v>0</v>
      </c>
      <c r="T146" s="149">
        <f t="shared" si="53"/>
        <v>0.3848947462</v>
      </c>
      <c r="U146" s="149">
        <f t="shared" si="53"/>
        <v>0</v>
      </c>
      <c r="V146" s="198"/>
      <c r="W146" s="198"/>
      <c r="X146" s="198"/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</row>
    <row r="147" ht="15.75" customHeight="1">
      <c r="A147" s="381" t="s">
        <v>450</v>
      </c>
      <c r="B147" s="149">
        <f t="shared" ref="B147:U147" si="54">B116-B133</f>
        <v>0</v>
      </c>
      <c r="C147" s="149">
        <f t="shared" si="54"/>
        <v>0</v>
      </c>
      <c r="D147" s="149">
        <f t="shared" si="54"/>
        <v>0</v>
      </c>
      <c r="E147" s="149">
        <f t="shared" si="54"/>
        <v>12.32155047</v>
      </c>
      <c r="F147" s="149">
        <f t="shared" si="54"/>
        <v>0</v>
      </c>
      <c r="G147" s="149">
        <f t="shared" si="54"/>
        <v>0</v>
      </c>
      <c r="H147" s="149">
        <f t="shared" si="54"/>
        <v>2.181395577</v>
      </c>
      <c r="I147" s="149">
        <f t="shared" si="54"/>
        <v>0</v>
      </c>
      <c r="J147" s="149">
        <f t="shared" si="54"/>
        <v>1.390337466</v>
      </c>
      <c r="K147" s="149">
        <f t="shared" si="54"/>
        <v>0</v>
      </c>
      <c r="L147" s="149">
        <f t="shared" si="54"/>
        <v>0</v>
      </c>
      <c r="M147" s="149">
        <f t="shared" si="54"/>
        <v>0</v>
      </c>
      <c r="N147" s="149">
        <f t="shared" si="54"/>
        <v>0</v>
      </c>
      <c r="O147" s="149">
        <f t="shared" si="54"/>
        <v>1.106770073</v>
      </c>
      <c r="P147" s="149">
        <f t="shared" si="54"/>
        <v>0</v>
      </c>
      <c r="Q147" s="149">
        <f t="shared" si="54"/>
        <v>4.07754461</v>
      </c>
      <c r="R147" s="149">
        <f t="shared" si="54"/>
        <v>1.629687387</v>
      </c>
      <c r="S147" s="149">
        <f t="shared" si="54"/>
        <v>2.569770782</v>
      </c>
      <c r="T147" s="149">
        <f t="shared" si="54"/>
        <v>0.5796094812</v>
      </c>
      <c r="U147" s="149">
        <f t="shared" si="54"/>
        <v>4.588626555</v>
      </c>
      <c r="V147" s="198"/>
      <c r="W147" s="198"/>
      <c r="X147" s="198"/>
      <c r="Y147" s="198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</row>
    <row r="148" ht="15.75" customHeight="1">
      <c r="A148" s="381" t="s">
        <v>451</v>
      </c>
      <c r="B148" s="149">
        <f t="shared" ref="B148:U148" si="55">B117-B134</f>
        <v>4.528193175</v>
      </c>
      <c r="C148" s="149">
        <f t="shared" si="55"/>
        <v>0</v>
      </c>
      <c r="D148" s="149">
        <f t="shared" si="55"/>
        <v>41.35963745</v>
      </c>
      <c r="E148" s="149">
        <f t="shared" si="55"/>
        <v>41.74242195</v>
      </c>
      <c r="F148" s="149">
        <f t="shared" si="55"/>
        <v>1.06218344</v>
      </c>
      <c r="G148" s="149">
        <f t="shared" si="55"/>
        <v>0</v>
      </c>
      <c r="H148" s="149">
        <f t="shared" si="55"/>
        <v>3.454601925</v>
      </c>
      <c r="I148" s="149">
        <f t="shared" si="55"/>
        <v>66.9</v>
      </c>
      <c r="J148" s="149">
        <f t="shared" si="55"/>
        <v>0</v>
      </c>
      <c r="K148" s="149">
        <f t="shared" si="55"/>
        <v>0</v>
      </c>
      <c r="L148" s="149">
        <f t="shared" si="55"/>
        <v>16.39736415</v>
      </c>
      <c r="M148" s="149">
        <f t="shared" si="55"/>
        <v>0</v>
      </c>
      <c r="N148" s="149">
        <f t="shared" si="55"/>
        <v>14.6473021</v>
      </c>
      <c r="O148" s="149">
        <f t="shared" si="55"/>
        <v>4.229659269</v>
      </c>
      <c r="P148" s="149">
        <f t="shared" si="55"/>
        <v>2.217530657</v>
      </c>
      <c r="Q148" s="149">
        <f t="shared" si="55"/>
        <v>12.69941471</v>
      </c>
      <c r="R148" s="149">
        <f t="shared" si="55"/>
        <v>2.593687921</v>
      </c>
      <c r="S148" s="149">
        <f t="shared" si="55"/>
        <v>4.055561122</v>
      </c>
      <c r="T148" s="149">
        <f t="shared" si="55"/>
        <v>1.862517462</v>
      </c>
      <c r="U148" s="149">
        <f t="shared" si="55"/>
        <v>0</v>
      </c>
      <c r="V148" s="198"/>
      <c r="W148" s="198"/>
      <c r="X148" s="198"/>
      <c r="Y148" s="198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</row>
    <row r="149" ht="15.75" customHeight="1">
      <c r="A149" s="381" t="s">
        <v>452</v>
      </c>
      <c r="B149" s="149">
        <f t="shared" ref="B149:U149" si="56">B118-B135</f>
        <v>0</v>
      </c>
      <c r="C149" s="149">
        <f t="shared" si="56"/>
        <v>0</v>
      </c>
      <c r="D149" s="149">
        <f t="shared" si="56"/>
        <v>0</v>
      </c>
      <c r="E149" s="149">
        <f t="shared" si="56"/>
        <v>63.44762337</v>
      </c>
      <c r="F149" s="149">
        <f t="shared" si="56"/>
        <v>1.153610274</v>
      </c>
      <c r="G149" s="149">
        <f t="shared" si="56"/>
        <v>0</v>
      </c>
      <c r="H149" s="149">
        <f t="shared" si="56"/>
        <v>7.481826337</v>
      </c>
      <c r="I149" s="149">
        <f t="shared" si="56"/>
        <v>67.2</v>
      </c>
      <c r="J149" s="149">
        <f t="shared" si="56"/>
        <v>2.404975332</v>
      </c>
      <c r="K149" s="149">
        <f t="shared" si="56"/>
        <v>0</v>
      </c>
      <c r="L149" s="149">
        <f t="shared" si="56"/>
        <v>29.13013775</v>
      </c>
      <c r="M149" s="149">
        <f t="shared" si="56"/>
        <v>19.7764223</v>
      </c>
      <c r="N149" s="149">
        <f t="shared" si="56"/>
        <v>15.64583104</v>
      </c>
      <c r="O149" s="149">
        <f t="shared" si="56"/>
        <v>11.61084824</v>
      </c>
      <c r="P149" s="149">
        <f t="shared" si="56"/>
        <v>5.611609109</v>
      </c>
      <c r="Q149" s="149">
        <f t="shared" si="56"/>
        <v>18.2708256</v>
      </c>
      <c r="R149" s="149">
        <f t="shared" si="56"/>
        <v>7.497668477</v>
      </c>
      <c r="S149" s="149">
        <f t="shared" si="56"/>
        <v>4.388434696</v>
      </c>
      <c r="T149" s="149">
        <f t="shared" si="56"/>
        <v>3.034739071</v>
      </c>
      <c r="U149" s="149">
        <f t="shared" si="56"/>
        <v>7.668632344</v>
      </c>
      <c r="V149" s="198"/>
      <c r="W149" s="198"/>
      <c r="X149" s="198"/>
      <c r="Y149" s="198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98"/>
      <c r="AL149" s="198"/>
      <c r="AM149" s="198"/>
      <c r="AN149" s="198"/>
      <c r="AO149" s="198"/>
      <c r="AP149" s="198"/>
      <c r="AQ149" s="198"/>
      <c r="AR149" s="198"/>
      <c r="AS149" s="198"/>
    </row>
    <row r="150" ht="15.75" customHeight="1">
      <c r="A150" s="381" t="s">
        <v>453</v>
      </c>
      <c r="B150" s="149">
        <f t="shared" ref="B150:U150" si="57">B119-B136</f>
        <v>0</v>
      </c>
      <c r="C150" s="149">
        <f t="shared" si="57"/>
        <v>0</v>
      </c>
      <c r="D150" s="149">
        <f t="shared" si="57"/>
        <v>44.06273442</v>
      </c>
      <c r="E150" s="149">
        <f t="shared" si="57"/>
        <v>220.0006023</v>
      </c>
      <c r="F150" s="149">
        <f t="shared" si="57"/>
        <v>2.872522811</v>
      </c>
      <c r="G150" s="149">
        <f t="shared" si="57"/>
        <v>0</v>
      </c>
      <c r="H150" s="149">
        <f t="shared" si="57"/>
        <v>3.983129945</v>
      </c>
      <c r="I150" s="149">
        <f t="shared" si="57"/>
        <v>67.8</v>
      </c>
      <c r="J150" s="149">
        <f t="shared" si="57"/>
        <v>2.5636787</v>
      </c>
      <c r="K150" s="149">
        <f t="shared" si="57"/>
        <v>0</v>
      </c>
      <c r="L150" s="149">
        <f t="shared" si="57"/>
        <v>42.90886316</v>
      </c>
      <c r="M150" s="149">
        <f t="shared" si="57"/>
        <v>20.76658523</v>
      </c>
      <c r="N150" s="149">
        <f t="shared" si="57"/>
        <v>16.48774068</v>
      </c>
      <c r="O150" s="149">
        <f t="shared" si="57"/>
        <v>16.01048218</v>
      </c>
      <c r="P150" s="149">
        <f t="shared" si="57"/>
        <v>9.400155233</v>
      </c>
      <c r="Q150" s="149">
        <f t="shared" si="57"/>
        <v>33.95211836</v>
      </c>
      <c r="R150" s="149">
        <f t="shared" si="57"/>
        <v>12.98310128</v>
      </c>
      <c r="S150" s="149">
        <f t="shared" si="57"/>
        <v>4.669940905</v>
      </c>
      <c r="T150" s="149">
        <f t="shared" si="57"/>
        <v>1.799410866</v>
      </c>
      <c r="U150" s="149">
        <f t="shared" si="57"/>
        <v>8.137296669</v>
      </c>
      <c r="V150" s="198"/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</row>
    <row r="151" ht="15.75" customHeight="1">
      <c r="A151" s="381" t="s">
        <v>454</v>
      </c>
      <c r="B151" s="149">
        <f t="shared" ref="B151:U151" si="58">B120-B137</f>
        <v>5.987824151</v>
      </c>
      <c r="C151" s="149">
        <f t="shared" si="58"/>
        <v>0</v>
      </c>
      <c r="D151" s="149">
        <f t="shared" si="58"/>
        <v>124.3107355</v>
      </c>
      <c r="E151" s="149">
        <f t="shared" si="58"/>
        <v>385.7969825</v>
      </c>
      <c r="F151" s="149">
        <f t="shared" si="58"/>
        <v>4.759487722</v>
      </c>
      <c r="G151" s="149">
        <f t="shared" si="58"/>
        <v>0</v>
      </c>
      <c r="H151" s="149">
        <f t="shared" si="58"/>
        <v>4.591351316</v>
      </c>
      <c r="I151" s="149">
        <f t="shared" si="58"/>
        <v>68.4</v>
      </c>
      <c r="J151" s="149">
        <f t="shared" si="58"/>
        <v>2.96455293</v>
      </c>
      <c r="K151" s="149">
        <f t="shared" si="58"/>
        <v>0</v>
      </c>
      <c r="L151" s="149">
        <f t="shared" si="58"/>
        <v>61.60961048</v>
      </c>
      <c r="M151" s="149">
        <f t="shared" si="58"/>
        <v>46.14483753</v>
      </c>
      <c r="N151" s="149">
        <f t="shared" si="58"/>
        <v>43.14062761</v>
      </c>
      <c r="O151" s="149">
        <f t="shared" si="58"/>
        <v>20.98704759</v>
      </c>
      <c r="P151" s="149">
        <f t="shared" si="58"/>
        <v>20.75187051</v>
      </c>
      <c r="Q151" s="149">
        <f t="shared" si="58"/>
        <v>49.95101969</v>
      </c>
      <c r="R151" s="149">
        <f t="shared" si="58"/>
        <v>38.07359727</v>
      </c>
      <c r="S151" s="149">
        <f t="shared" si="58"/>
        <v>10.74957983</v>
      </c>
      <c r="T151" s="149">
        <f t="shared" si="58"/>
        <v>8.768438775</v>
      </c>
      <c r="U151" s="149">
        <f t="shared" si="58"/>
        <v>9.29359551</v>
      </c>
      <c r="V151" s="198"/>
      <c r="W151" s="198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198"/>
    </row>
    <row r="152" ht="15.75" customHeight="1">
      <c r="A152" s="381" t="s">
        <v>455</v>
      </c>
      <c r="B152" s="149">
        <f t="shared" ref="B152:U152" si="59">B121-B138</f>
        <v>6.946968169</v>
      </c>
      <c r="C152" s="149">
        <f t="shared" si="59"/>
        <v>0</v>
      </c>
      <c r="D152" s="149">
        <f t="shared" si="59"/>
        <v>214.7646532</v>
      </c>
      <c r="E152" s="149">
        <f t="shared" si="59"/>
        <v>689.2438349</v>
      </c>
      <c r="F152" s="149">
        <f t="shared" si="59"/>
        <v>7.810618364</v>
      </c>
      <c r="G152" s="149">
        <f t="shared" si="59"/>
        <v>0</v>
      </c>
      <c r="H152" s="149">
        <f t="shared" si="59"/>
        <v>16.03069537</v>
      </c>
      <c r="I152" s="149">
        <f t="shared" si="59"/>
        <v>69.6</v>
      </c>
      <c r="J152" s="149">
        <f t="shared" si="59"/>
        <v>3.462936638</v>
      </c>
      <c r="K152" s="149">
        <f t="shared" si="59"/>
        <v>0</v>
      </c>
      <c r="L152" s="149">
        <f t="shared" si="59"/>
        <v>69.21661096</v>
      </c>
      <c r="M152" s="149">
        <f t="shared" si="59"/>
        <v>77.33703377</v>
      </c>
      <c r="N152" s="149">
        <f t="shared" si="59"/>
        <v>125.1875977</v>
      </c>
      <c r="O152" s="149">
        <f t="shared" si="59"/>
        <v>32.37124286</v>
      </c>
      <c r="P152" s="149">
        <f t="shared" si="59"/>
        <v>63.48717169</v>
      </c>
      <c r="Q152" s="149">
        <f t="shared" si="59"/>
        <v>105.6910219</v>
      </c>
      <c r="R152" s="149">
        <f t="shared" si="59"/>
        <v>61.92494348</v>
      </c>
      <c r="S152" s="149">
        <f t="shared" si="59"/>
        <v>37.46600641</v>
      </c>
      <c r="T152" s="149">
        <f t="shared" si="59"/>
        <v>15.6683347</v>
      </c>
      <c r="U152" s="149">
        <f t="shared" si="59"/>
        <v>74.91959517</v>
      </c>
      <c r="V152" s="198"/>
      <c r="W152" s="198"/>
      <c r="X152" s="198"/>
      <c r="Y152" s="198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98"/>
      <c r="AL152" s="198"/>
      <c r="AM152" s="198"/>
      <c r="AN152" s="198"/>
      <c r="AO152" s="198"/>
      <c r="AP152" s="198"/>
      <c r="AQ152" s="198"/>
      <c r="AR152" s="198"/>
      <c r="AS152" s="198"/>
    </row>
    <row r="153" ht="15.75" customHeight="1">
      <c r="A153" s="381" t="s">
        <v>456</v>
      </c>
      <c r="B153" s="149">
        <f t="shared" ref="B153:U153" si="60">B122-B139</f>
        <v>7.096687311</v>
      </c>
      <c r="C153" s="149">
        <f t="shared" si="60"/>
        <v>0</v>
      </c>
      <c r="D153" s="149">
        <f t="shared" si="60"/>
        <v>860.6964068</v>
      </c>
      <c r="E153" s="149">
        <f t="shared" si="60"/>
        <v>1883.250682</v>
      </c>
      <c r="F153" s="149">
        <f t="shared" si="60"/>
        <v>18.2376015</v>
      </c>
      <c r="G153" s="149">
        <f t="shared" si="60"/>
        <v>0</v>
      </c>
      <c r="H153" s="149">
        <f t="shared" si="60"/>
        <v>30.93279294</v>
      </c>
      <c r="I153" s="149">
        <f t="shared" si="60"/>
        <v>165.9</v>
      </c>
      <c r="J153" s="149">
        <f t="shared" si="60"/>
        <v>3.537568893</v>
      </c>
      <c r="K153" s="149">
        <f t="shared" si="60"/>
        <v>0</v>
      </c>
      <c r="L153" s="149">
        <f t="shared" si="60"/>
        <v>86.42131454</v>
      </c>
      <c r="M153" s="149">
        <f t="shared" si="60"/>
        <v>210.6767472</v>
      </c>
      <c r="N153" s="149">
        <f t="shared" si="60"/>
        <v>184.7236535</v>
      </c>
      <c r="O153" s="149">
        <f t="shared" si="60"/>
        <v>62.90279693</v>
      </c>
      <c r="P153" s="149">
        <f t="shared" si="60"/>
        <v>121.456532</v>
      </c>
      <c r="Q153" s="149">
        <f t="shared" si="60"/>
        <v>170.1327265</v>
      </c>
      <c r="R153" s="149">
        <f t="shared" si="60"/>
        <v>126.5190656</v>
      </c>
      <c r="S153" s="149">
        <f t="shared" si="60"/>
        <v>82.92583746</v>
      </c>
      <c r="T153" s="149">
        <f t="shared" si="60"/>
        <v>36.01353224</v>
      </c>
      <c r="U153" s="149">
        <f t="shared" si="60"/>
        <v>164.0019463</v>
      </c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8"/>
    </row>
    <row r="154" ht="15.75" customHeight="1">
      <c r="A154" s="381" t="s">
        <v>457</v>
      </c>
      <c r="B154" s="149">
        <f t="shared" ref="B154:U154" si="61">B123</f>
        <v>12.13391216</v>
      </c>
      <c r="C154" s="149">
        <f t="shared" si="61"/>
        <v>0</v>
      </c>
      <c r="D154" s="149">
        <f t="shared" si="61"/>
        <v>1573.65928</v>
      </c>
      <c r="E154" s="149">
        <f t="shared" si="61"/>
        <v>3133.709303</v>
      </c>
      <c r="F154" s="149">
        <f t="shared" si="61"/>
        <v>17.78060777</v>
      </c>
      <c r="G154" s="149">
        <f t="shared" si="61"/>
        <v>0</v>
      </c>
      <c r="H154" s="149">
        <f t="shared" si="61"/>
        <v>37.22050058</v>
      </c>
      <c r="I154" s="149">
        <f t="shared" si="61"/>
        <v>157.6</v>
      </c>
      <c r="J154" s="149">
        <f t="shared" si="61"/>
        <v>8.584222809</v>
      </c>
      <c r="K154" s="149">
        <f t="shared" si="61"/>
        <v>0</v>
      </c>
      <c r="L154" s="149">
        <f t="shared" si="61"/>
        <v>302.838989</v>
      </c>
      <c r="M154" s="149">
        <f t="shared" si="61"/>
        <v>253.4548827</v>
      </c>
      <c r="N154" s="149">
        <f t="shared" si="61"/>
        <v>272.6888089</v>
      </c>
      <c r="O154" s="149">
        <f t="shared" si="61"/>
        <v>46.36712058</v>
      </c>
      <c r="P154" s="149">
        <f t="shared" si="61"/>
        <v>140.7812541</v>
      </c>
      <c r="Q154" s="149">
        <f t="shared" si="61"/>
        <v>250.5975004</v>
      </c>
      <c r="R154" s="149">
        <f t="shared" si="61"/>
        <v>110.2422172</v>
      </c>
      <c r="S154" s="149">
        <f t="shared" si="61"/>
        <v>94.91765399</v>
      </c>
      <c r="T154" s="149">
        <f t="shared" si="61"/>
        <v>53.32667557</v>
      </c>
      <c r="U154" s="149">
        <f t="shared" si="61"/>
        <v>209.7944876</v>
      </c>
      <c r="V154" s="198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  <c r="AL154" s="198"/>
      <c r="AM154" s="198"/>
      <c r="AN154" s="198"/>
      <c r="AO154" s="198"/>
      <c r="AP154" s="198"/>
      <c r="AQ154" s="198"/>
      <c r="AR154" s="198"/>
      <c r="AS154" s="198"/>
    </row>
    <row r="155" ht="15.75" customHeight="1">
      <c r="A155" s="381" t="s">
        <v>458</v>
      </c>
      <c r="B155" s="149">
        <f t="shared" ref="B155:U155" si="62">B124</f>
        <v>15.46076739</v>
      </c>
      <c r="C155" s="149">
        <f t="shared" si="62"/>
        <v>0</v>
      </c>
      <c r="D155" s="149">
        <f t="shared" si="62"/>
        <v>2352.686254</v>
      </c>
      <c r="E155" s="149">
        <f t="shared" si="62"/>
        <v>4011.688753</v>
      </c>
      <c r="F155" s="149">
        <f t="shared" si="62"/>
        <v>22.93731207</v>
      </c>
      <c r="G155" s="149">
        <f t="shared" si="62"/>
        <v>0</v>
      </c>
      <c r="H155" s="149">
        <f t="shared" si="62"/>
        <v>22.69036596</v>
      </c>
      <c r="I155" s="149">
        <f t="shared" si="62"/>
        <v>219.8</v>
      </c>
      <c r="J155" s="149">
        <f t="shared" si="62"/>
        <v>10.81121488</v>
      </c>
      <c r="K155" s="149">
        <f t="shared" si="62"/>
        <v>0</v>
      </c>
      <c r="L155" s="149">
        <f t="shared" si="62"/>
        <v>251.1177511</v>
      </c>
      <c r="M155" s="149">
        <f t="shared" si="62"/>
        <v>227.2949446</v>
      </c>
      <c r="N155" s="149">
        <f t="shared" si="62"/>
        <v>282.0109898</v>
      </c>
      <c r="O155" s="149">
        <f t="shared" si="62"/>
        <v>47.75260515</v>
      </c>
      <c r="P155" s="149">
        <f t="shared" si="62"/>
        <v>138.0019782</v>
      </c>
      <c r="Q155" s="149">
        <f t="shared" si="62"/>
        <v>263.9429828</v>
      </c>
      <c r="R155" s="149">
        <f t="shared" si="62"/>
        <v>87.65874881</v>
      </c>
      <c r="S155" s="149">
        <f t="shared" si="62"/>
        <v>70.50261858</v>
      </c>
      <c r="T155" s="149">
        <f t="shared" si="62"/>
        <v>64.64949462</v>
      </c>
      <c r="U155" s="149">
        <f t="shared" si="62"/>
        <v>335.0601518</v>
      </c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198"/>
    </row>
    <row r="156" ht="15.75" customHeight="1">
      <c r="A156" s="381" t="s">
        <v>459</v>
      </c>
      <c r="B156" s="149">
        <f t="shared" ref="B156:U156" si="63">B125</f>
        <v>31.93662438</v>
      </c>
      <c r="C156" s="149">
        <f t="shared" si="63"/>
        <v>0</v>
      </c>
      <c r="D156" s="149">
        <f t="shared" si="63"/>
        <v>6003.314792</v>
      </c>
      <c r="E156" s="149">
        <f t="shared" si="63"/>
        <v>13861.02712</v>
      </c>
      <c r="F156" s="149">
        <f t="shared" si="63"/>
        <v>30.61737351</v>
      </c>
      <c r="G156" s="149">
        <f t="shared" si="63"/>
        <v>0</v>
      </c>
      <c r="H156" s="149">
        <f t="shared" si="63"/>
        <v>28.50798538</v>
      </c>
      <c r="I156" s="149">
        <f t="shared" si="63"/>
        <v>115.5</v>
      </c>
      <c r="J156" s="149">
        <f t="shared" si="63"/>
        <v>19.34793487</v>
      </c>
      <c r="K156" s="149">
        <f t="shared" si="63"/>
        <v>2.749665518</v>
      </c>
      <c r="L156" s="149">
        <f t="shared" si="63"/>
        <v>566.0073543</v>
      </c>
      <c r="M156" s="149">
        <f t="shared" si="63"/>
        <v>270.8360316</v>
      </c>
      <c r="N156" s="149">
        <f t="shared" si="63"/>
        <v>396.1530697</v>
      </c>
      <c r="O156" s="149">
        <f t="shared" si="63"/>
        <v>56.88370033</v>
      </c>
      <c r="P156" s="149">
        <f t="shared" si="63"/>
        <v>148.713875</v>
      </c>
      <c r="Q156" s="149">
        <f t="shared" si="63"/>
        <v>350.6407259</v>
      </c>
      <c r="R156" s="149">
        <f t="shared" si="63"/>
        <v>70.33939336</v>
      </c>
      <c r="S156" s="149">
        <f t="shared" si="63"/>
        <v>119.3820036</v>
      </c>
      <c r="T156" s="149">
        <f t="shared" si="63"/>
        <v>188.1729192</v>
      </c>
      <c r="U156" s="149">
        <f t="shared" si="63"/>
        <v>1057.846139</v>
      </c>
      <c r="V156" s="198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198"/>
    </row>
    <row r="157" ht="15.75" customHeight="1">
      <c r="A157" s="13" t="s">
        <v>68</v>
      </c>
      <c r="B157" s="505">
        <f t="shared" ref="B157:U157" si="64">SUM(B144:B156)</f>
        <v>86.02394609</v>
      </c>
      <c r="C157" s="505">
        <f t="shared" si="64"/>
        <v>0</v>
      </c>
      <c r="D157" s="505">
        <f t="shared" si="64"/>
        <v>11214.85449</v>
      </c>
      <c r="E157" s="505">
        <f t="shared" si="64"/>
        <v>24302.22887</v>
      </c>
      <c r="F157" s="505">
        <f t="shared" si="64"/>
        <v>107.9634495</v>
      </c>
      <c r="G157" s="505">
        <f t="shared" si="64"/>
        <v>0</v>
      </c>
      <c r="H157" s="505">
        <f t="shared" si="64"/>
        <v>158.0519366</v>
      </c>
      <c r="I157" s="505">
        <f t="shared" si="64"/>
        <v>998.7</v>
      </c>
      <c r="J157" s="505">
        <f t="shared" si="64"/>
        <v>55.06742252</v>
      </c>
      <c r="K157" s="505">
        <f t="shared" si="64"/>
        <v>2.749665518</v>
      </c>
      <c r="L157" s="505">
        <f t="shared" si="64"/>
        <v>1438.926601</v>
      </c>
      <c r="M157" s="505">
        <f t="shared" si="64"/>
        <v>1126.287485</v>
      </c>
      <c r="N157" s="505">
        <f t="shared" si="64"/>
        <v>1357.5744</v>
      </c>
      <c r="O157" s="505">
        <f t="shared" si="64"/>
        <v>300.4976548</v>
      </c>
      <c r="P157" s="505">
        <f t="shared" si="64"/>
        <v>650.4219764</v>
      </c>
      <c r="Q157" s="505">
        <f t="shared" si="64"/>
        <v>1259.95588</v>
      </c>
      <c r="R157" s="505">
        <f t="shared" si="64"/>
        <v>520.5500802</v>
      </c>
      <c r="S157" s="505">
        <f t="shared" si="64"/>
        <v>431.6274074</v>
      </c>
      <c r="T157" s="505">
        <f t="shared" si="64"/>
        <v>374.6118181</v>
      </c>
      <c r="U157" s="505">
        <f t="shared" si="64"/>
        <v>1871.310471</v>
      </c>
      <c r="V157" s="149">
        <f>SUM(B157:U157)</f>
        <v>46257.40356</v>
      </c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</row>
    <row r="158" ht="15.75" customHeight="1">
      <c r="A158" s="506"/>
      <c r="B158" s="408"/>
      <c r="C158" s="408"/>
      <c r="D158" s="408"/>
      <c r="E158" s="408"/>
      <c r="F158" s="408"/>
      <c r="G158" s="408"/>
      <c r="H158" s="408"/>
      <c r="I158" s="408"/>
      <c r="J158" s="408"/>
      <c r="K158" s="408"/>
      <c r="L158" s="408"/>
      <c r="M158" s="408"/>
      <c r="N158" s="408"/>
      <c r="O158" s="408"/>
      <c r="P158" s="408"/>
      <c r="Q158" s="408"/>
      <c r="R158" s="408"/>
      <c r="S158" s="408"/>
      <c r="T158" s="408"/>
      <c r="U158" s="408"/>
      <c r="V158" s="408"/>
      <c r="W158" s="408"/>
      <c r="X158" s="408"/>
      <c r="Y158" s="408"/>
      <c r="Z158" s="408"/>
      <c r="AA158" s="408"/>
      <c r="AB158" s="408"/>
      <c r="AC158" s="408"/>
      <c r="AD158" s="408"/>
      <c r="AE158" s="408"/>
      <c r="AF158" s="408"/>
      <c r="AG158" s="408"/>
      <c r="AH158" s="408"/>
      <c r="AI158" s="408"/>
      <c r="AJ158" s="408"/>
      <c r="AK158" s="408"/>
      <c r="AL158" s="408"/>
      <c r="AM158" s="408"/>
      <c r="AN158" s="408"/>
      <c r="AO158" s="408"/>
      <c r="AP158" s="408"/>
      <c r="AQ158" s="408"/>
      <c r="AR158" s="408"/>
      <c r="AS158" s="408"/>
    </row>
    <row r="159" ht="15.75" customHeight="1">
      <c r="A159" s="218" t="s">
        <v>420</v>
      </c>
      <c r="B159" s="219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1"/>
      <c r="X159" s="221"/>
      <c r="Y159" s="221"/>
      <c r="Z159" s="221"/>
      <c r="AA159" s="221"/>
      <c r="AB159" s="221"/>
      <c r="AC159" s="221"/>
      <c r="AD159" s="221"/>
      <c r="AE159" s="221"/>
      <c r="AF159" s="221"/>
      <c r="AG159" s="221"/>
      <c r="AH159" s="221"/>
      <c r="AI159" s="221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</row>
    <row r="160" ht="15.75" customHeight="1">
      <c r="A160" s="198"/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198"/>
    </row>
    <row r="161" ht="15.75" customHeight="1">
      <c r="A161" s="13" t="s">
        <v>602</v>
      </c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  <c r="AK161" s="198"/>
      <c r="AL161" s="198"/>
      <c r="AM161" s="198"/>
      <c r="AN161" s="198"/>
      <c r="AO161" s="198"/>
      <c r="AP161" s="198"/>
      <c r="AQ161" s="198"/>
      <c r="AR161" s="198"/>
      <c r="AS161" s="198"/>
    </row>
    <row r="162" ht="15.75" customHeight="1">
      <c r="A162" s="262" t="s">
        <v>468</v>
      </c>
      <c r="B162" s="504" t="s">
        <v>288</v>
      </c>
      <c r="C162" s="504" t="s">
        <v>405</v>
      </c>
      <c r="D162" s="504" t="s">
        <v>469</v>
      </c>
      <c r="E162" s="504" t="s">
        <v>294</v>
      </c>
      <c r="F162" s="504" t="s">
        <v>296</v>
      </c>
      <c r="G162" s="504" t="s">
        <v>298</v>
      </c>
      <c r="H162" s="504" t="s">
        <v>300</v>
      </c>
      <c r="I162" s="504" t="s">
        <v>89</v>
      </c>
      <c r="J162" s="504" t="s">
        <v>303</v>
      </c>
      <c r="K162" s="504" t="s">
        <v>470</v>
      </c>
      <c r="L162" s="504" t="s">
        <v>307</v>
      </c>
      <c r="M162" s="504" t="s">
        <v>406</v>
      </c>
      <c r="N162" s="504" t="s">
        <v>311</v>
      </c>
      <c r="O162" s="504" t="s">
        <v>313</v>
      </c>
      <c r="P162" s="504" t="s">
        <v>315</v>
      </c>
      <c r="Q162" s="504" t="s">
        <v>407</v>
      </c>
      <c r="R162" s="504" t="s">
        <v>319</v>
      </c>
      <c r="S162" s="504" t="s">
        <v>321</v>
      </c>
      <c r="T162" s="504" t="s">
        <v>323</v>
      </c>
      <c r="U162" s="504" t="s">
        <v>408</v>
      </c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198"/>
      <c r="AP162" s="198"/>
      <c r="AQ162" s="198"/>
      <c r="AR162" s="198"/>
      <c r="AS162" s="198"/>
    </row>
    <row r="163" ht="15.75" customHeight="1">
      <c r="A163" s="381" t="s">
        <v>447</v>
      </c>
      <c r="B163" s="146">
        <f>B26*'Pomocná data V. PAF'!C121</f>
        <v>0</v>
      </c>
      <c r="C163" s="146">
        <f>C26*'Pomocná data V. PAF'!D121</f>
        <v>0</v>
      </c>
      <c r="D163" s="146">
        <f>D26*'Pomocná data V. PAF'!E121</f>
        <v>0</v>
      </c>
      <c r="E163" s="146">
        <f>E26*'Pomocná data V. PAF'!F121</f>
        <v>0</v>
      </c>
      <c r="F163" s="146">
        <f>F26*'Pomocná data V. PAF'!G121</f>
        <v>0</v>
      </c>
      <c r="G163" s="146">
        <f>G26*'Pomocná data V. PAF'!H121</f>
        <v>0</v>
      </c>
      <c r="H163" s="146">
        <f>H26*'Pomocná data V. PAF'!I121</f>
        <v>0</v>
      </c>
      <c r="I163" s="146">
        <f>I26*'Pomocná data V. PAF'!J121</f>
        <v>0</v>
      </c>
      <c r="J163" s="146">
        <f>J26*'Pomocná data V. PAF'!K121</f>
        <v>0</v>
      </c>
      <c r="K163" s="146">
        <f>K26*'Pomocná data V. PAF'!L121</f>
        <v>0</v>
      </c>
      <c r="L163" s="146">
        <f>L26*'Pomocná data V. PAF'!M121</f>
        <v>0</v>
      </c>
      <c r="M163" s="146">
        <f>M26*'Pomocná data V. PAF'!N121</f>
        <v>0</v>
      </c>
      <c r="N163" s="146">
        <f>N26*'Pomocná data V. PAF'!O121</f>
        <v>0</v>
      </c>
      <c r="O163" s="146">
        <f>O26*'Pomocná data V. PAF'!P121</f>
        <v>0</v>
      </c>
      <c r="P163" s="146">
        <f>P26*'Pomocná data V. PAF'!Q121</f>
        <v>0</v>
      </c>
      <c r="Q163" s="146">
        <f>Q26*'Pomocná data V. PAF'!R121</f>
        <v>0</v>
      </c>
      <c r="R163" s="146">
        <f>R26*'Pomocná data V. PAF'!S121</f>
        <v>0</v>
      </c>
      <c r="S163" s="146">
        <f>S26*'Pomocná data V. PAF'!T121</f>
        <v>0</v>
      </c>
      <c r="T163" s="146">
        <f>T26*'Pomocná data V. PAF'!U121</f>
        <v>9.53662052</v>
      </c>
      <c r="U163" s="146">
        <f>U26*'Pomocná data V. PAF'!V121</f>
        <v>0</v>
      </c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198"/>
    </row>
    <row r="164" ht="15.75" customHeight="1">
      <c r="A164" s="381" t="s">
        <v>448</v>
      </c>
      <c r="B164" s="146">
        <f>B27*'Pomocná data V. PAF'!C122</f>
        <v>0</v>
      </c>
      <c r="C164" s="146">
        <f>C27*'Pomocná data V. PAF'!D122</f>
        <v>0</v>
      </c>
      <c r="D164" s="146">
        <f>D27*'Pomocná data V. PAF'!E122</f>
        <v>0</v>
      </c>
      <c r="E164" s="146">
        <f>E27*'Pomocná data V. PAF'!F122</f>
        <v>0</v>
      </c>
      <c r="F164" s="146">
        <f>F27*'Pomocná data V. PAF'!G122</f>
        <v>6.031004451</v>
      </c>
      <c r="G164" s="146">
        <f>G27*'Pomocná data V. PAF'!H122</f>
        <v>0</v>
      </c>
      <c r="H164" s="146">
        <f>H27*'Pomocná data V. PAF'!I122</f>
        <v>7.382563597</v>
      </c>
      <c r="I164" s="146">
        <f>I27*'Pomocná data V. PAF'!J122</f>
        <v>0</v>
      </c>
      <c r="J164" s="146">
        <f>J27*'Pomocná data V. PAF'!K122</f>
        <v>0</v>
      </c>
      <c r="K164" s="146">
        <f>K27*'Pomocná data V. PAF'!L122</f>
        <v>0</v>
      </c>
      <c r="L164" s="146">
        <f>L27*'Pomocná data V. PAF'!M122</f>
        <v>32.08332694</v>
      </c>
      <c r="M164" s="146">
        <f>M27*'Pomocná data V. PAF'!N122</f>
        <v>0</v>
      </c>
      <c r="N164" s="146">
        <f>N27*'Pomocná data V. PAF'!O122</f>
        <v>0</v>
      </c>
      <c r="O164" s="146">
        <f>O27*'Pomocná data V. PAF'!P122</f>
        <v>0</v>
      </c>
      <c r="P164" s="146">
        <f>P27*'Pomocná data V. PAF'!Q122</f>
        <v>0</v>
      </c>
      <c r="Q164" s="146">
        <f>Q27*'Pomocná data V. PAF'!R122</f>
        <v>0</v>
      </c>
      <c r="R164" s="146">
        <f>R27*'Pomocná data V. PAF'!S122</f>
        <v>0</v>
      </c>
      <c r="S164" s="146">
        <f>S27*'Pomocná data V. PAF'!T122</f>
        <v>0</v>
      </c>
      <c r="T164" s="146">
        <f>T27*'Pomocná data V. PAF'!U122</f>
        <v>18.27200397</v>
      </c>
      <c r="U164" s="146">
        <f>U27*'Pomocná data V. PAF'!V122</f>
        <v>0</v>
      </c>
      <c r="V164" s="198"/>
      <c r="W164" s="198"/>
      <c r="X164" s="198"/>
      <c r="Y164" s="198"/>
      <c r="Z164" s="198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  <c r="AK164" s="198"/>
      <c r="AL164" s="198"/>
      <c r="AM164" s="198"/>
      <c r="AN164" s="198"/>
      <c r="AO164" s="198"/>
      <c r="AP164" s="198"/>
      <c r="AQ164" s="198"/>
      <c r="AR164" s="198"/>
      <c r="AS164" s="198"/>
    </row>
    <row r="165" ht="15.75" customHeight="1">
      <c r="A165" s="381" t="s">
        <v>449</v>
      </c>
      <c r="B165" s="146">
        <f>B28*'Pomocná data V. PAF'!C123</f>
        <v>17.0506985</v>
      </c>
      <c r="C165" s="146">
        <f>C28*'Pomocná data V. PAF'!D123</f>
        <v>0</v>
      </c>
      <c r="D165" s="146">
        <f>D28*'Pomocná data V. PAF'!E123</f>
        <v>0</v>
      </c>
      <c r="E165" s="146">
        <f>E28*'Pomocná data V. PAF'!F123</f>
        <v>0</v>
      </c>
      <c r="F165" s="146">
        <f>F28*'Pomocná data V. PAF'!G123</f>
        <v>8.19362054</v>
      </c>
      <c r="G165" s="146">
        <f>G28*'Pomocná data V. PAF'!H123</f>
        <v>0</v>
      </c>
      <c r="H165" s="146">
        <f>H28*'Pomocná data V. PAF'!I123</f>
        <v>0</v>
      </c>
      <c r="I165" s="146">
        <f>I28*'Pomocná data V. PAF'!J123</f>
        <v>0</v>
      </c>
      <c r="J165" s="146">
        <f>J28*'Pomocná data V. PAF'!K123</f>
        <v>0</v>
      </c>
      <c r="K165" s="146">
        <f>K28*'Pomocná data V. PAF'!L123</f>
        <v>0</v>
      </c>
      <c r="L165" s="146">
        <f>L28*'Pomocná data V. PAF'!M123</f>
        <v>40.79357738</v>
      </c>
      <c r="M165" s="146">
        <f>M28*'Pomocná data V. PAF'!N123</f>
        <v>0</v>
      </c>
      <c r="N165" s="146">
        <f>N28*'Pomocná data V. PAF'!O123</f>
        <v>23.51769283</v>
      </c>
      <c r="O165" s="146">
        <f>O28*'Pomocná data V. PAF'!P123</f>
        <v>3.097844835</v>
      </c>
      <c r="P165" s="146">
        <f>P28*'Pomocná data V. PAF'!Q123</f>
        <v>0</v>
      </c>
      <c r="Q165" s="146">
        <f>Q28*'Pomocná data V. PAF'!R123</f>
        <v>0</v>
      </c>
      <c r="R165" s="146">
        <f>R28*'Pomocná data V. PAF'!S123</f>
        <v>5.011725974</v>
      </c>
      <c r="S165" s="146">
        <f>S28*'Pomocná data V. PAF'!T123</f>
        <v>0</v>
      </c>
      <c r="T165" s="146">
        <f>T28*'Pomocná data V. PAF'!U123</f>
        <v>24.04999298</v>
      </c>
      <c r="U165" s="146">
        <f>U28*'Pomocná data V. PAF'!V123</f>
        <v>0</v>
      </c>
      <c r="V165" s="198"/>
      <c r="W165" s="198"/>
      <c r="X165" s="198"/>
      <c r="Y165" s="198"/>
      <c r="Z165" s="198"/>
      <c r="AA165" s="198"/>
      <c r="AB165" s="198"/>
      <c r="AC165" s="198"/>
      <c r="AD165" s="198"/>
      <c r="AE165" s="198"/>
      <c r="AF165" s="198"/>
      <c r="AG165" s="198"/>
      <c r="AH165" s="198"/>
      <c r="AI165" s="198"/>
      <c r="AJ165" s="198"/>
      <c r="AK165" s="198"/>
      <c r="AL165" s="198"/>
      <c r="AM165" s="198"/>
      <c r="AN165" s="198"/>
      <c r="AO165" s="198"/>
      <c r="AP165" s="198"/>
      <c r="AQ165" s="198"/>
      <c r="AR165" s="198"/>
      <c r="AS165" s="198"/>
    </row>
    <row r="166" ht="15.75" customHeight="1">
      <c r="A166" s="381" t="s">
        <v>450</v>
      </c>
      <c r="B166" s="146">
        <f>B29*'Pomocná data V. PAF'!C124</f>
        <v>0</v>
      </c>
      <c r="C166" s="146">
        <f>C29*'Pomocná data V. PAF'!D124</f>
        <v>0</v>
      </c>
      <c r="D166" s="146">
        <f>D29*'Pomocná data V. PAF'!E124</f>
        <v>0</v>
      </c>
      <c r="E166" s="146">
        <f>E29*'Pomocná data V. PAF'!F124</f>
        <v>36.7185687</v>
      </c>
      <c r="F166" s="146">
        <f>F29*'Pomocná data V. PAF'!G124</f>
        <v>0</v>
      </c>
      <c r="G166" s="146">
        <f>G29*'Pomocná data V. PAF'!H124</f>
        <v>0</v>
      </c>
      <c r="H166" s="146">
        <f>H29*'Pomocná data V. PAF'!I124</f>
        <v>13.35055337</v>
      </c>
      <c r="I166" s="146">
        <f>I29*'Pomocná data V. PAF'!J124</f>
        <v>0</v>
      </c>
      <c r="J166" s="146">
        <f>J29*'Pomocná data V. PAF'!K124</f>
        <v>48.61709652</v>
      </c>
      <c r="K166" s="146">
        <f>K29*'Pomocná data V. PAF'!L124</f>
        <v>0</v>
      </c>
      <c r="L166" s="146">
        <f>L29*'Pomocná data V. PAF'!M124</f>
        <v>0</v>
      </c>
      <c r="M166" s="146">
        <f>M29*'Pomocná data V. PAF'!N124</f>
        <v>0</v>
      </c>
      <c r="N166" s="146">
        <f>N29*'Pomocná data V. PAF'!O124</f>
        <v>0</v>
      </c>
      <c r="O166" s="146">
        <f>O29*'Pomocná data V. PAF'!P124</f>
        <v>11.25596213</v>
      </c>
      <c r="P166" s="146">
        <f>P29*'Pomocná data V. PAF'!Q124</f>
        <v>0</v>
      </c>
      <c r="Q166" s="146">
        <f>Q29*'Pomocná data V. PAF'!R124</f>
        <v>14.49697986</v>
      </c>
      <c r="R166" s="146">
        <f>R29*'Pomocná data V. PAF'!S124</f>
        <v>6.791029119</v>
      </c>
      <c r="S166" s="146">
        <f>S29*'Pomocná data V. PAF'!T124</f>
        <v>24.8908868</v>
      </c>
      <c r="T166" s="146">
        <f>T29*'Pomocná data V. PAF'!U124</f>
        <v>30.89078813</v>
      </c>
      <c r="U166" s="146">
        <f>U29*'Pomocná data V. PAF'!V124</f>
        <v>39.43534044</v>
      </c>
      <c r="V166" s="198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8"/>
      <c r="AP166" s="198"/>
      <c r="AQ166" s="198"/>
      <c r="AR166" s="198"/>
      <c r="AS166" s="198"/>
    </row>
    <row r="167" ht="15.75" customHeight="1">
      <c r="A167" s="381" t="s">
        <v>451</v>
      </c>
      <c r="B167" s="146">
        <f>B30*'Pomocná data V. PAF'!C125</f>
        <v>29.95853736</v>
      </c>
      <c r="C167" s="146">
        <f>C30*'Pomocná data V. PAF'!D125</f>
        <v>0</v>
      </c>
      <c r="D167" s="146">
        <f>D30*'Pomocná data V. PAF'!E125</f>
        <v>108.8817305</v>
      </c>
      <c r="E167" s="146">
        <f>E30*'Pomocná data V. PAF'!F125</f>
        <v>109.3531257</v>
      </c>
      <c r="F167" s="146">
        <f>F30*'Pomocná data V. PAF'!G125</f>
        <v>15.38135593</v>
      </c>
      <c r="G167" s="146">
        <f>G30*'Pomocná data V. PAF'!H125</f>
        <v>0</v>
      </c>
      <c r="H167" s="146">
        <f>H30*'Pomocná data V. PAF'!I125</f>
        <v>18.50429272</v>
      </c>
      <c r="I167" s="146">
        <f>I30*'Pomocná data V. PAF'!J125</f>
        <v>142.5</v>
      </c>
      <c r="J167" s="146">
        <f>J30*'Pomocná data V. PAF'!K125</f>
        <v>0</v>
      </c>
      <c r="K167" s="146">
        <f>K30*'Pomocná data V. PAF'!L125</f>
        <v>0</v>
      </c>
      <c r="L167" s="146">
        <f>L30*'Pomocná data V. PAF'!M125</f>
        <v>61.17444095</v>
      </c>
      <c r="M167" s="146">
        <f>M30*'Pomocná data V. PAF'!N125</f>
        <v>0</v>
      </c>
      <c r="N167" s="146">
        <f>N30*'Pomocná data V. PAF'!O125</f>
        <v>39.47553922</v>
      </c>
      <c r="O167" s="146">
        <f>O30*'Pomocná data V. PAF'!P125</f>
        <v>38.33990297</v>
      </c>
      <c r="P167" s="146">
        <f>P30*'Pomocná data V. PAF'!Q125</f>
        <v>27.76570048</v>
      </c>
      <c r="Q167" s="146">
        <f>Q30*'Pomocná data V. PAF'!R125</f>
        <v>40.01783642</v>
      </c>
      <c r="R167" s="146">
        <f>R30*'Pomocná data V. PAF'!S125</f>
        <v>9.645254522</v>
      </c>
      <c r="S167" s="146">
        <f>S30*'Pomocná data V. PAF'!T125</f>
        <v>33.0950096</v>
      </c>
      <c r="T167" s="146">
        <f>T30*'Pomocná data V. PAF'!U125</f>
        <v>80.44231114</v>
      </c>
      <c r="U167" s="146">
        <f>U30*'Pomocná data V. PAF'!V125</f>
        <v>0</v>
      </c>
      <c r="V167" s="198"/>
      <c r="W167" s="198"/>
      <c r="X167" s="198"/>
      <c r="Y167" s="198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  <c r="AK167" s="198"/>
      <c r="AL167" s="198"/>
      <c r="AM167" s="198"/>
      <c r="AN167" s="198"/>
      <c r="AO167" s="198"/>
      <c r="AP167" s="198"/>
      <c r="AQ167" s="198"/>
      <c r="AR167" s="198"/>
      <c r="AS167" s="198"/>
    </row>
    <row r="168" ht="15.75" customHeight="1">
      <c r="A168" s="381" t="s">
        <v>452</v>
      </c>
      <c r="B168" s="146">
        <f>B31*'Pomocná data V. PAF'!C126</f>
        <v>0</v>
      </c>
      <c r="C168" s="146">
        <f>C31*'Pomocná data V. PAF'!D126</f>
        <v>0</v>
      </c>
      <c r="D168" s="146">
        <f>D31*'Pomocná data V. PAF'!E126</f>
        <v>0</v>
      </c>
      <c r="E168" s="146">
        <f>E31*'Pomocná data V. PAF'!F126</f>
        <v>147.6686812</v>
      </c>
      <c r="F168" s="146">
        <f>F31*'Pomocná data V. PAF'!G126</f>
        <v>14.80265252</v>
      </c>
      <c r="G168" s="146">
        <f>G31*'Pomocná data V. PAF'!H126</f>
        <v>0</v>
      </c>
      <c r="H168" s="146">
        <f>H31*'Pomocná data V. PAF'!I126</f>
        <v>35.55236319</v>
      </c>
      <c r="I168" s="146">
        <f>I31*'Pomocná data V. PAF'!J126</f>
        <v>127.8</v>
      </c>
      <c r="J168" s="146">
        <f>J31*'Pomocná data V. PAF'!K126</f>
        <v>55.98005564</v>
      </c>
      <c r="K168" s="146">
        <f>K31*'Pomocná data V. PAF'!L126</f>
        <v>0</v>
      </c>
      <c r="L168" s="146">
        <f>L31*'Pomocná data V. PAF'!M126</f>
        <v>95.60474174</v>
      </c>
      <c r="M168" s="146">
        <f>M31*'Pomocná data V. PAF'!N126</f>
        <v>45.82086897</v>
      </c>
      <c r="N168" s="146">
        <f>N31*'Pomocná data V. PAF'!O126</f>
        <v>37.47133938</v>
      </c>
      <c r="O168" s="146">
        <f>O31*'Pomocná data V. PAF'!P126</f>
        <v>93.71701918</v>
      </c>
      <c r="P168" s="146">
        <f>P31*'Pomocná data V. PAF'!Q126</f>
        <v>61.90839937</v>
      </c>
      <c r="Q168" s="146">
        <f>Q31*'Pomocná data V. PAF'!R126</f>
        <v>51.21339168</v>
      </c>
      <c r="R168" s="146">
        <f>R31*'Pomocná data V. PAF'!S126</f>
        <v>24.83486</v>
      </c>
      <c r="S168" s="146">
        <f>S31*'Pomocná data V. PAF'!T126</f>
        <v>31.52881356</v>
      </c>
      <c r="T168" s="146">
        <f>T31*'Pomocná data V. PAF'!U126</f>
        <v>114.4889006</v>
      </c>
      <c r="U168" s="146">
        <f>U31*'Pomocná data V. PAF'!V126</f>
        <v>47.06466408</v>
      </c>
      <c r="V168" s="198"/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98"/>
    </row>
    <row r="169" ht="15.75" customHeight="1">
      <c r="A169" s="381" t="s">
        <v>453</v>
      </c>
      <c r="B169" s="146">
        <f>B32*'Pomocná data V. PAF'!C127</f>
        <v>0</v>
      </c>
      <c r="C169" s="146">
        <f>C32*'Pomocná data V. PAF'!D127</f>
        <v>0</v>
      </c>
      <c r="D169" s="146">
        <f>D32*'Pomocná data V. PAF'!E127</f>
        <v>89.33652675</v>
      </c>
      <c r="E169" s="146">
        <f>E32*'Pomocná data V. PAF'!F127</f>
        <v>448.6729432</v>
      </c>
      <c r="F169" s="146">
        <f>F32*'Pomocná data V. PAF'!G127</f>
        <v>32.22975323</v>
      </c>
      <c r="G169" s="146">
        <f>G32*'Pomocná data V. PAF'!H127</f>
        <v>0</v>
      </c>
      <c r="H169" s="146">
        <f>H32*'Pomocná data V. PAF'!I127</f>
        <v>16.56492988</v>
      </c>
      <c r="I169" s="146">
        <f>I32*'Pomocná data V. PAF'!J127</f>
        <v>113.4</v>
      </c>
      <c r="J169" s="146">
        <f>J32*'Pomocná data V. PAF'!K127</f>
        <v>51.27203502</v>
      </c>
      <c r="K169" s="146">
        <f>K32*'Pomocná data V. PAF'!L127</f>
        <v>0</v>
      </c>
      <c r="L169" s="146">
        <f>L32*'Pomocná data V. PAF'!M127</f>
        <v>122.5139411</v>
      </c>
      <c r="M169" s="146">
        <f>M32*'Pomocná data V. PAF'!N127</f>
        <v>42.15929773</v>
      </c>
      <c r="N169" s="146">
        <f>N32*'Pomocná data V. PAF'!O127</f>
        <v>34.60713814</v>
      </c>
      <c r="O169" s="146">
        <f>O32*'Pomocná data V. PAF'!P127</f>
        <v>113.4195441</v>
      </c>
      <c r="P169" s="146">
        <f>P32*'Pomocná data V. PAF'!Q127</f>
        <v>90.29506811</v>
      </c>
      <c r="Q169" s="146">
        <f>Q32*'Pomocná data V. PAF'!R127</f>
        <v>83.4621784</v>
      </c>
      <c r="R169" s="146">
        <f>R32*'Pomocná data V. PAF'!S127</f>
        <v>37.7525415</v>
      </c>
      <c r="S169" s="146">
        <f>S32*'Pomocná data V. PAF'!T127</f>
        <v>29.19728977</v>
      </c>
      <c r="T169" s="146">
        <f>T32*'Pomocná data V. PAF'!U127</f>
        <v>58.72480226</v>
      </c>
      <c r="U169" s="146">
        <f>U32*'Pomocná data V. PAF'!V127</f>
        <v>43.27945326</v>
      </c>
      <c r="V169" s="198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8"/>
    </row>
    <row r="170" ht="15.75" customHeight="1">
      <c r="A170" s="381" t="s">
        <v>454</v>
      </c>
      <c r="B170" s="146">
        <f>B33*'Pomocná data V. PAF'!C128</f>
        <v>25.7632307</v>
      </c>
      <c r="C170" s="146">
        <f>C33*'Pomocná data V. PAF'!D128</f>
        <v>0</v>
      </c>
      <c r="D170" s="146">
        <f>D33*'Pomocná data V. PAF'!E128</f>
        <v>213.9999053</v>
      </c>
      <c r="E170" s="146">
        <f>E33*'Pomocná data V. PAF'!F128</f>
        <v>674.4819085</v>
      </c>
      <c r="F170" s="146">
        <f>F33*'Pomocná data V. PAF'!G128</f>
        <v>45.49271489</v>
      </c>
      <c r="G170" s="146">
        <f>G33*'Pomocná data V. PAF'!H128</f>
        <v>0</v>
      </c>
      <c r="H170" s="146">
        <f>H33*'Pomocná data V. PAF'!I128</f>
        <v>16.3077405</v>
      </c>
      <c r="I170" s="146">
        <f>I33*'Pomocná data V. PAF'!J128</f>
        <v>99</v>
      </c>
      <c r="J170" s="146">
        <f>J33*'Pomocná data V. PAF'!K128</f>
        <v>48.26732278</v>
      </c>
      <c r="K170" s="146">
        <f>K33*'Pomocná data V. PAF'!L128</f>
        <v>0</v>
      </c>
      <c r="L170" s="146">
        <f>L33*'Pomocná data V. PAF'!M128</f>
        <v>148.0565208</v>
      </c>
      <c r="M170" s="146">
        <f>M33*'Pomocná data V. PAF'!N128</f>
        <v>80.29979076</v>
      </c>
      <c r="N170" s="146">
        <f>N33*'Pomocná data V. PAF'!O128</f>
        <v>77.64918512</v>
      </c>
      <c r="O170" s="146">
        <f>O33*'Pomocná data V. PAF'!P128</f>
        <v>127.9345003</v>
      </c>
      <c r="P170" s="146">
        <f>P33*'Pomocná data V. PAF'!Q128</f>
        <v>167.9204425</v>
      </c>
      <c r="Q170" s="146">
        <f>Q33*'Pomocná data V. PAF'!R128</f>
        <v>105.4589202</v>
      </c>
      <c r="R170" s="146">
        <f>R33*'Pomocná data V. PAF'!S128</f>
        <v>95.33246346</v>
      </c>
      <c r="S170" s="146">
        <f>S33*'Pomocná data V. PAF'!T128</f>
        <v>56.54616896</v>
      </c>
      <c r="T170" s="146">
        <f>T33*'Pomocná data V. PAF'!U128</f>
        <v>236.9814434</v>
      </c>
      <c r="U170" s="146">
        <f>U33*'Pomocná data V. PAF'!V128</f>
        <v>41.15786229</v>
      </c>
      <c r="V170" s="198"/>
      <c r="W170" s="198"/>
      <c r="X170" s="198"/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198"/>
    </row>
    <row r="171" ht="15.75" customHeight="1">
      <c r="A171" s="381" t="s">
        <v>455</v>
      </c>
      <c r="B171" s="146">
        <f>B34*'Pomocná data V. PAF'!C129</f>
        <v>24.62668638</v>
      </c>
      <c r="C171" s="146">
        <f>C34*'Pomocná data V. PAF'!D129</f>
        <v>0</v>
      </c>
      <c r="D171" s="146">
        <f>D34*'Pomocná data V. PAF'!E129</f>
        <v>307.1128493</v>
      </c>
      <c r="E171" s="146">
        <f>E34*'Pomocná data V. PAF'!F129</f>
        <v>1009.026771</v>
      </c>
      <c r="F171" s="146">
        <f>F34*'Pomocná data V. PAF'!G129</f>
        <v>62.01593518</v>
      </c>
      <c r="G171" s="146">
        <f>G34*'Pomocná data V. PAF'!H129</f>
        <v>0</v>
      </c>
      <c r="H171" s="146">
        <f>H34*'Pomocná data V. PAF'!I129</f>
        <v>47.44311682</v>
      </c>
      <c r="I171" s="146">
        <f>I34*'Pomocná data V. PAF'!J129</f>
        <v>85.2</v>
      </c>
      <c r="J171" s="146">
        <f>J34*'Pomocná data V. PAF'!K129</f>
        <v>44.62006897</v>
      </c>
      <c r="K171" s="146">
        <f>K34*'Pomocná data V. PAF'!L129</f>
        <v>0</v>
      </c>
      <c r="L171" s="146">
        <f>L34*'Pomocná data V. PAF'!M129</f>
        <v>136.6521025</v>
      </c>
      <c r="M171" s="146">
        <f>M34*'Pomocná data V. PAF'!N129</f>
        <v>112.6853462</v>
      </c>
      <c r="N171" s="146">
        <f>N34*'Pomocná data V. PAF'!O129</f>
        <v>188.7170326</v>
      </c>
      <c r="O171" s="146">
        <f>O34*'Pomocná data V. PAF'!P129</f>
        <v>165.8081666</v>
      </c>
      <c r="P171" s="146">
        <f>P34*'Pomocná data V. PAF'!Q129</f>
        <v>421.521028</v>
      </c>
      <c r="Q171" s="146">
        <f>Q34*'Pomocná data V. PAF'!R129</f>
        <v>187.12797</v>
      </c>
      <c r="R171" s="146">
        <f>R34*'Pomocná data V. PAF'!S129</f>
        <v>130.395391</v>
      </c>
      <c r="S171" s="146">
        <f>S34*'Pomocná data V. PAF'!T129</f>
        <v>161.5419973</v>
      </c>
      <c r="T171" s="146">
        <f>T34*'Pomocná data V. PAF'!U129</f>
        <v>341.0129202</v>
      </c>
      <c r="U171" s="146">
        <f>U34*'Pomocná data V. PAF'!V129</f>
        <v>269.1320617</v>
      </c>
      <c r="V171" s="198"/>
      <c r="W171" s="198"/>
      <c r="X171" s="198"/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8"/>
    </row>
    <row r="172" ht="15.75" customHeight="1">
      <c r="A172" s="381" t="s">
        <v>456</v>
      </c>
      <c r="B172" s="146">
        <f>B35*'Pomocná data V. PAF'!C130</f>
        <v>20.72457058</v>
      </c>
      <c r="C172" s="146">
        <f>C35*'Pomocná data V. PAF'!D130</f>
        <v>0</v>
      </c>
      <c r="D172" s="146">
        <f>D35*'Pomocná data V. PAF'!E130</f>
        <v>1013.921593</v>
      </c>
      <c r="E172" s="146">
        <f>E35*'Pomocná data V. PAF'!F130</f>
        <v>2271.209165</v>
      </c>
      <c r="F172" s="146">
        <f>F35*'Pomocná data V. PAF'!G130</f>
        <v>119.2902093</v>
      </c>
      <c r="G172" s="146">
        <f>G35*'Pomocná data V. PAF'!H130</f>
        <v>0</v>
      </c>
      <c r="H172" s="146">
        <f>H35*'Pomocná data V. PAF'!I130</f>
        <v>75.41525181</v>
      </c>
      <c r="I172" s="146">
        <f>I35*'Pomocná data V. PAF'!J130</f>
        <v>167.3</v>
      </c>
      <c r="J172" s="146">
        <f>J35*'Pomocná data V. PAF'!K130</f>
        <v>37.54998762</v>
      </c>
      <c r="K172" s="146">
        <f>K35*'Pomocná data V. PAF'!L130</f>
        <v>0</v>
      </c>
      <c r="L172" s="146">
        <f>L35*'Pomocná data V. PAF'!M130</f>
        <v>140.5549208</v>
      </c>
      <c r="M172" s="146">
        <f>M35*'Pomocná data V. PAF'!N130</f>
        <v>252.88073</v>
      </c>
      <c r="N172" s="146">
        <f>N35*'Pomocná data V. PAF'!O130</f>
        <v>229.3989907</v>
      </c>
      <c r="O172" s="146">
        <f>O35*'Pomocná data V. PAF'!P130</f>
        <v>265.4212557</v>
      </c>
      <c r="P172" s="146">
        <f>P35*'Pomocná data V. PAF'!Q130</f>
        <v>664.3139019</v>
      </c>
      <c r="Q172" s="146">
        <f>Q35*'Pomocná data V. PAF'!R130</f>
        <v>248.146224</v>
      </c>
      <c r="R172" s="146">
        <f>R35*'Pomocná data V. PAF'!S130</f>
        <v>219.468299</v>
      </c>
      <c r="S172" s="146">
        <f>S35*'Pomocná data V. PAF'!T130</f>
        <v>294.5487004</v>
      </c>
      <c r="T172" s="146">
        <f>T35*'Pomocná data V. PAF'!U130</f>
        <v>645.7031613</v>
      </c>
      <c r="U172" s="146">
        <f>U35*'Pomocná data V. PAF'!V130</f>
        <v>485.3312079</v>
      </c>
      <c r="V172" s="198"/>
      <c r="W172" s="198"/>
      <c r="X172" s="198"/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8"/>
    </row>
    <row r="173" ht="15.75" customHeight="1">
      <c r="A173" s="381" t="s">
        <v>457</v>
      </c>
      <c r="B173" s="146">
        <f>B36*'Pomocná data V. PAF'!C131</f>
        <v>36.03556317</v>
      </c>
      <c r="C173" s="146">
        <f>C36*'Pomocná data V. PAF'!D131</f>
        <v>0</v>
      </c>
      <c r="D173" s="146">
        <f>D36*'Pomocná data V. PAF'!E131</f>
        <v>1870.347731</v>
      </c>
      <c r="E173" s="146">
        <f>E36*'Pomocná data V. PAF'!F131</f>
        <v>3783.781544</v>
      </c>
      <c r="F173" s="146">
        <f>F36*'Pomocná data V. PAF'!G131</f>
        <v>117.3446589</v>
      </c>
      <c r="G173" s="146">
        <f>G36*'Pomocná data V. PAF'!H131</f>
        <v>0</v>
      </c>
      <c r="H173" s="146">
        <f>H36*'Pomocná data V. PAF'!I131</f>
        <v>91.28889779</v>
      </c>
      <c r="I173" s="146">
        <f>I36*'Pomocná data V. PAF'!J131</f>
        <v>157.6</v>
      </c>
      <c r="J173" s="146">
        <f>J36*'Pomocná data V. PAF'!K131</f>
        <v>96.32337129</v>
      </c>
      <c r="K173" s="146">
        <f>K36*'Pomocná data V. PAF'!L131</f>
        <v>0</v>
      </c>
      <c r="L173" s="146">
        <f>L36*'Pomocná data V. PAF'!M131</f>
        <v>502.2595607</v>
      </c>
      <c r="M173" s="146">
        <f>M36*'Pomocná data V. PAF'!N131</f>
        <v>304.6115771</v>
      </c>
      <c r="N173" s="146">
        <f>N36*'Pomocná data V. PAF'!O131</f>
        <v>338.9830639</v>
      </c>
      <c r="O173" s="146">
        <f>O36*'Pomocná data V. PAF'!P131</f>
        <v>195.2379089</v>
      </c>
      <c r="P173" s="146">
        <f>P36*'Pomocná data V. PAF'!Q131</f>
        <v>786.1874092</v>
      </c>
      <c r="Q173" s="146">
        <f>Q36*'Pomocná data V. PAF'!R131</f>
        <v>365.4266803</v>
      </c>
      <c r="R173" s="146">
        <f>R36*'Pomocná data V. PAF'!S131</f>
        <v>190.6757624</v>
      </c>
      <c r="S173" s="146">
        <f>S36*'Pomocná data V. PAF'!T131</f>
        <v>344.5673324</v>
      </c>
      <c r="T173" s="146">
        <f>T36*'Pomocná data V. PAF'!U131</f>
        <v>993.9559569</v>
      </c>
      <c r="U173" s="146">
        <f>U36*'Pomocná data V. PAF'!V131</f>
        <v>640.9157919</v>
      </c>
      <c r="V173" s="198"/>
      <c r="W173" s="198"/>
      <c r="X173" s="198"/>
      <c r="Y173" s="198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198"/>
    </row>
    <row r="174" ht="15.75" customHeight="1">
      <c r="A174" s="381" t="s">
        <v>458</v>
      </c>
      <c r="B174" s="146">
        <f>B37*'Pomocná data V. PAF'!C132</f>
        <v>46.51116132</v>
      </c>
      <c r="C174" s="146">
        <f>C37*'Pomocná data V. PAF'!D132</f>
        <v>0</v>
      </c>
      <c r="D174" s="146">
        <f>D37*'Pomocná data V. PAF'!E132</f>
        <v>2824.333448</v>
      </c>
      <c r="E174" s="146">
        <f>E37*'Pomocná data V. PAF'!F132</f>
        <v>4868.696847</v>
      </c>
      <c r="F174" s="146">
        <f>F37*'Pomocná data V. PAF'!G132</f>
        <v>152.6958225</v>
      </c>
      <c r="G174" s="146">
        <f>G37*'Pomocná data V. PAF'!H132</f>
        <v>0</v>
      </c>
      <c r="H174" s="146">
        <f>H37*'Pomocná data V. PAF'!I132</f>
        <v>56.05677639</v>
      </c>
      <c r="I174" s="146">
        <f>I37*'Pomocná data V. PAF'!J132</f>
        <v>219.8</v>
      </c>
      <c r="J174" s="146">
        <f>J37*'Pomocná data V. PAF'!K132</f>
        <v>125.4248204</v>
      </c>
      <c r="K174" s="146">
        <f>K37*'Pomocná data V. PAF'!L132</f>
        <v>0</v>
      </c>
      <c r="L174" s="146">
        <f>L37*'Pomocná data V. PAF'!M132</f>
        <v>422.7770093</v>
      </c>
      <c r="M174" s="146">
        <f>M37*'Pomocná data V. PAF'!N132</f>
        <v>274.5836322</v>
      </c>
      <c r="N174" s="146">
        <f>N37*'Pomocná data V. PAF'!O132</f>
        <v>352.3121957</v>
      </c>
      <c r="O174" s="146">
        <f>O37*'Pomocná data V. PAF'!P132</f>
        <v>201.7007617</v>
      </c>
      <c r="P174" s="146">
        <f>P37*'Pomocná data V. PAF'!Q132</f>
        <v>782.1696456</v>
      </c>
      <c r="Q174" s="146">
        <f>Q37*'Pomocná data V. PAF'!R132</f>
        <v>386.49135</v>
      </c>
      <c r="R174" s="146">
        <f>R37*'Pomocná data V. PAF'!S132</f>
        <v>152.0308794</v>
      </c>
      <c r="S174" s="146">
        <f>S37*'Pomocná data V. PAF'!T132</f>
        <v>259.9222222</v>
      </c>
      <c r="T174" s="146">
        <f>T37*'Pomocná data V. PAF'!U132</f>
        <v>1234.46638</v>
      </c>
      <c r="U174" s="146">
        <f>U37*'Pomocná data V. PAF'!V132</f>
        <v>1045.338862</v>
      </c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198"/>
    </row>
    <row r="175" ht="15.75" customHeight="1">
      <c r="A175" s="381" t="s">
        <v>459</v>
      </c>
      <c r="B175" s="146">
        <f>SUM(B38:B42)*'Pomocná data V. PAF'!C133</f>
        <v>98.68610841</v>
      </c>
      <c r="C175" s="146">
        <f>SUM(C38:C42)*'Pomocná data V. PAF'!D133</f>
        <v>0</v>
      </c>
      <c r="D175" s="146">
        <f>SUM(D38:D42)*'Pomocná data V. PAF'!E133</f>
        <v>7381.315405</v>
      </c>
      <c r="E175" s="146">
        <f>SUM(E38:E42)*'Pomocná data V. PAF'!F133</f>
        <v>17009.82386</v>
      </c>
      <c r="F175" s="146">
        <f>SUM(F38:F42)*'Pomocná data V. PAF'!G133</f>
        <v>207.4548783</v>
      </c>
      <c r="G175" s="146">
        <f>SUM(G38:G42)*'Pomocná data V. PAF'!H133</f>
        <v>0</v>
      </c>
      <c r="H175" s="146">
        <f>SUM(H38:H42)*'Pomocná data V. PAF'!I133</f>
        <v>71.48601493</v>
      </c>
      <c r="I175" s="146">
        <f>SUM(I38:I42)*'Pomocná data V. PAF'!J133</f>
        <v>115.5</v>
      </c>
      <c r="J175" s="146">
        <f>SUM(J38:J42)*'Pomocná data V. PAF'!K133</f>
        <v>240.9572638</v>
      </c>
      <c r="K175" s="146">
        <f>SUM(K38:K42)*'Pomocná data V. PAF'!L133</f>
        <v>3.160340409</v>
      </c>
      <c r="L175" s="146">
        <f>SUM(L38:L42)*'Pomocná data V. PAF'!M133</f>
        <v>984.8172969</v>
      </c>
      <c r="M175" s="146">
        <f>SUM(M38:M42)*'Pomocná data V. PAF'!N133</f>
        <v>330.8796331</v>
      </c>
      <c r="N175" s="146">
        <f>SUM(N38:N42)*'Pomocná data V. PAF'!O133</f>
        <v>500.1908095</v>
      </c>
      <c r="O175" s="146">
        <f>SUM(O38:O42)*'Pomocná data V. PAF'!P133</f>
        <v>241.7864529</v>
      </c>
      <c r="P175" s="146">
        <f>SUM(P38:P42)*'Pomocná data V. PAF'!Q133</f>
        <v>869.0777422</v>
      </c>
      <c r="Q175" s="146">
        <f>SUM(Q38:Q42)*'Pomocná data V. PAF'!R133</f>
        <v>517.8786529</v>
      </c>
      <c r="R175" s="146">
        <f>SUM(R38:R42)*'Pomocná data V. PAF'!S133</f>
        <v>122.6733046</v>
      </c>
      <c r="S175" s="146">
        <f>SUM(S38:S42)*'Pomocná data V. PAF'!T133</f>
        <v>454.5332318</v>
      </c>
      <c r="T175" s="146">
        <f>SUM(T38:T42)*'Pomocná data V. PAF'!U133</f>
        <v>3778.657785</v>
      </c>
      <c r="U175" s="146">
        <f>SUM(U38:U42)*'Pomocná data V. PAF'!V133</f>
        <v>3451.481613</v>
      </c>
      <c r="V175" s="198"/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198"/>
    </row>
    <row r="176" ht="15.75" customHeight="1">
      <c r="A176" s="13" t="s">
        <v>68</v>
      </c>
      <c r="B176" s="505">
        <f t="shared" ref="B176:U176" si="65">SUM(B163:B175)</f>
        <v>299.3565564</v>
      </c>
      <c r="C176" s="505">
        <f t="shared" si="65"/>
        <v>0</v>
      </c>
      <c r="D176" s="505">
        <f t="shared" si="65"/>
        <v>13809.24919</v>
      </c>
      <c r="E176" s="505">
        <f t="shared" si="65"/>
        <v>30359.43341</v>
      </c>
      <c r="F176" s="505">
        <f t="shared" si="65"/>
        <v>780.9326056</v>
      </c>
      <c r="G176" s="505">
        <f t="shared" si="65"/>
        <v>0</v>
      </c>
      <c r="H176" s="505">
        <f t="shared" si="65"/>
        <v>449.352501</v>
      </c>
      <c r="I176" s="505">
        <f t="shared" si="65"/>
        <v>1228.1</v>
      </c>
      <c r="J176" s="505">
        <f t="shared" si="65"/>
        <v>749.012022</v>
      </c>
      <c r="K176" s="505">
        <f t="shared" si="65"/>
        <v>3.160340409</v>
      </c>
      <c r="L176" s="505">
        <f t="shared" si="65"/>
        <v>2687.287439</v>
      </c>
      <c r="M176" s="505">
        <f t="shared" si="65"/>
        <v>1443.920876</v>
      </c>
      <c r="N176" s="505">
        <f t="shared" si="65"/>
        <v>1822.322987</v>
      </c>
      <c r="O176" s="505">
        <f t="shared" si="65"/>
        <v>1457.719319</v>
      </c>
      <c r="P176" s="505">
        <f t="shared" si="65"/>
        <v>3871.159337</v>
      </c>
      <c r="Q176" s="505">
        <f t="shared" si="65"/>
        <v>1999.720184</v>
      </c>
      <c r="R176" s="505">
        <f t="shared" si="65"/>
        <v>994.611511</v>
      </c>
      <c r="S176" s="505">
        <f t="shared" si="65"/>
        <v>1690.371653</v>
      </c>
      <c r="T176" s="505">
        <f t="shared" si="65"/>
        <v>7567.183066</v>
      </c>
      <c r="U176" s="505">
        <f t="shared" si="65"/>
        <v>6063.136857</v>
      </c>
      <c r="V176" s="507">
        <f>SUM(B176:U176)</f>
        <v>77276.02986</v>
      </c>
      <c r="W176" s="13" t="s">
        <v>603</v>
      </c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</row>
    <row r="177" ht="15.75" customHeight="1">
      <c r="A177" s="506"/>
      <c r="B177" s="408"/>
      <c r="C177" s="408"/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08"/>
      <c r="AD177" s="408"/>
      <c r="AE177" s="408"/>
      <c r="AF177" s="408"/>
      <c r="AG177" s="408"/>
      <c r="AH177" s="408"/>
      <c r="AI177" s="408"/>
      <c r="AJ177" s="408"/>
      <c r="AK177" s="408"/>
      <c r="AL177" s="408"/>
      <c r="AM177" s="408"/>
      <c r="AN177" s="408"/>
      <c r="AO177" s="408"/>
      <c r="AP177" s="408"/>
      <c r="AQ177" s="408"/>
      <c r="AR177" s="408"/>
      <c r="AS177" s="408"/>
    </row>
    <row r="178" ht="15.75" customHeight="1">
      <c r="A178" s="499" t="s">
        <v>604</v>
      </c>
      <c r="B178" s="289"/>
      <c r="C178" s="289"/>
      <c r="D178" s="289"/>
      <c r="E178" s="289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</row>
    <row r="179" ht="15.75" customHeight="1">
      <c r="A179" s="210" t="s">
        <v>468</v>
      </c>
      <c r="B179" s="500" t="s">
        <v>288</v>
      </c>
      <c r="C179" s="500" t="s">
        <v>405</v>
      </c>
      <c r="D179" s="500" t="s">
        <v>469</v>
      </c>
      <c r="E179" s="500" t="s">
        <v>294</v>
      </c>
      <c r="F179" s="500" t="s">
        <v>296</v>
      </c>
      <c r="G179" s="500" t="s">
        <v>298</v>
      </c>
      <c r="H179" s="500" t="s">
        <v>300</v>
      </c>
      <c r="I179" s="500" t="s">
        <v>89</v>
      </c>
      <c r="J179" s="500" t="s">
        <v>303</v>
      </c>
      <c r="K179" s="500" t="s">
        <v>470</v>
      </c>
      <c r="L179" s="500" t="s">
        <v>307</v>
      </c>
      <c r="M179" s="500" t="s">
        <v>406</v>
      </c>
      <c r="N179" s="500" t="s">
        <v>311</v>
      </c>
      <c r="O179" s="500" t="s">
        <v>313</v>
      </c>
      <c r="P179" s="500" t="s">
        <v>315</v>
      </c>
      <c r="Q179" s="500" t="s">
        <v>407</v>
      </c>
      <c r="R179" s="500" t="s">
        <v>319</v>
      </c>
      <c r="S179" s="500" t="s">
        <v>321</v>
      </c>
      <c r="T179" s="500" t="s">
        <v>323</v>
      </c>
      <c r="U179" s="478" t="s">
        <v>408</v>
      </c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</row>
    <row r="180" ht="15.75" customHeight="1">
      <c r="A180" s="380" t="s">
        <v>447</v>
      </c>
      <c r="B180" s="146">
        <f>B47*'Pomocná data V. PAF'!C121</f>
        <v>0</v>
      </c>
      <c r="C180" s="146">
        <f>C47*'Pomocná data V. PAF'!D121</f>
        <v>0</v>
      </c>
      <c r="D180" s="146">
        <f>D47*'Pomocná data V. PAF'!E121</f>
        <v>0</v>
      </c>
      <c r="E180" s="146">
        <f>E47*'Pomocná data V. PAF'!F121</f>
        <v>0</v>
      </c>
      <c r="F180" s="146">
        <f>F47*'Pomocná data V. PAF'!G121</f>
        <v>0</v>
      </c>
      <c r="G180" s="146">
        <f>G47*'Pomocná data V. PAF'!H121</f>
        <v>0</v>
      </c>
      <c r="H180" s="146">
        <f>H47*'Pomocná data V. PAF'!I121</f>
        <v>0</v>
      </c>
      <c r="I180" s="146">
        <f>I47*'Pomocná data V. PAF'!J121</f>
        <v>0</v>
      </c>
      <c r="J180" s="146">
        <f>J47*'Pomocná data V. PAF'!K121</f>
        <v>0</v>
      </c>
      <c r="K180" s="146">
        <f>K47*'Pomocná data V. PAF'!L121</f>
        <v>0</v>
      </c>
      <c r="L180" s="146">
        <f>L47*'Pomocná data V. PAF'!M121</f>
        <v>0</v>
      </c>
      <c r="M180" s="146">
        <f>M47*'Pomocná data V. PAF'!N121</f>
        <v>0</v>
      </c>
      <c r="N180" s="146">
        <f>N47*'Pomocná data V. PAF'!O121</f>
        <v>0</v>
      </c>
      <c r="O180" s="146">
        <f>O47*'Pomocná data V. PAF'!P121</f>
        <v>0</v>
      </c>
      <c r="P180" s="146">
        <f>P47*'Pomocná data V. PAF'!Q121</f>
        <v>0</v>
      </c>
      <c r="Q180" s="146">
        <f>Q47*'Pomocná data V. PAF'!R121</f>
        <v>0</v>
      </c>
      <c r="R180" s="146">
        <f>R47*'Pomocná data V. PAF'!S121</f>
        <v>0</v>
      </c>
      <c r="S180" s="146">
        <f>S47*'Pomocná data V. PAF'!T121</f>
        <v>0</v>
      </c>
      <c r="T180" s="146">
        <f>T47*'Pomocná data V. PAF'!U121</f>
        <v>7.02044377</v>
      </c>
      <c r="U180" s="146">
        <f>U47*'Pomocná data V. PAF'!V121</f>
        <v>0</v>
      </c>
      <c r="V180" s="146">
        <f t="shared" ref="V180:V189" si="66">SUM(B180:U180)</f>
        <v>7.02044377</v>
      </c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</row>
    <row r="181" ht="15.75" customHeight="1">
      <c r="A181" s="380" t="s">
        <v>448</v>
      </c>
      <c r="B181" s="146">
        <f>B48*'Pomocná data V. PAF'!C122</f>
        <v>0</v>
      </c>
      <c r="C181" s="146">
        <f>C48*'Pomocná data V. PAF'!D122</f>
        <v>0</v>
      </c>
      <c r="D181" s="146">
        <f>D48*'Pomocná data V. PAF'!E122</f>
        <v>0</v>
      </c>
      <c r="E181" s="146">
        <f>E48*'Pomocná data V. PAF'!F122</f>
        <v>0</v>
      </c>
      <c r="F181" s="146">
        <f>F48*'Pomocná data V. PAF'!G122</f>
        <v>3.897851751</v>
      </c>
      <c r="G181" s="146">
        <f>G48*'Pomocná data V. PAF'!H122</f>
        <v>0</v>
      </c>
      <c r="H181" s="146">
        <f>H48*'Pomocná data V. PAF'!I122</f>
        <v>4.771367469</v>
      </c>
      <c r="I181" s="146">
        <f>I48*'Pomocná data V. PAF'!J122</f>
        <v>0</v>
      </c>
      <c r="J181" s="146">
        <f>J48*'Pomocná data V. PAF'!K122</f>
        <v>0</v>
      </c>
      <c r="K181" s="146">
        <f>K48*'Pomocná data V. PAF'!L122</f>
        <v>0</v>
      </c>
      <c r="L181" s="146">
        <f>L48*'Pomocná data V. PAF'!M122</f>
        <v>20.73552641</v>
      </c>
      <c r="M181" s="146">
        <f>M48*'Pomocná data V. PAF'!N122</f>
        <v>0</v>
      </c>
      <c r="N181" s="146">
        <f>N48*'Pomocná data V. PAF'!O122</f>
        <v>0</v>
      </c>
      <c r="O181" s="146">
        <f>O48*'Pomocná data V. PAF'!P122</f>
        <v>0</v>
      </c>
      <c r="P181" s="146">
        <f>P48*'Pomocná data V. PAF'!Q122</f>
        <v>0</v>
      </c>
      <c r="Q181" s="146">
        <f>Q48*'Pomocná data V. PAF'!R122</f>
        <v>0</v>
      </c>
      <c r="R181" s="146">
        <f>R48*'Pomocná data V. PAF'!S122</f>
        <v>0</v>
      </c>
      <c r="S181" s="146">
        <f>S48*'Pomocná data V. PAF'!T122</f>
        <v>0</v>
      </c>
      <c r="T181" s="146">
        <f>T48*'Pomocná data V. PAF'!U122</f>
        <v>11.80923729</v>
      </c>
      <c r="U181" s="146">
        <f>U48*'Pomocná data V. PAF'!V122</f>
        <v>0</v>
      </c>
      <c r="V181" s="146">
        <f t="shared" si="66"/>
        <v>41.21398293</v>
      </c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</row>
    <row r="182" ht="15.75" customHeight="1">
      <c r="A182" s="380" t="s">
        <v>449</v>
      </c>
      <c r="B182" s="146">
        <f>B49*'Pomocná data V. PAF'!C123</f>
        <v>10.4744256</v>
      </c>
      <c r="C182" s="146">
        <f>C49*'Pomocná data V. PAF'!D123</f>
        <v>0</v>
      </c>
      <c r="D182" s="146">
        <f>D49*'Pomocná data V. PAF'!E123</f>
        <v>0</v>
      </c>
      <c r="E182" s="146">
        <f>E49*'Pomocná data V. PAF'!F123</f>
        <v>0</v>
      </c>
      <c r="F182" s="146">
        <f>F49*'Pomocná data V. PAF'!G123</f>
        <v>5.033428325</v>
      </c>
      <c r="G182" s="146">
        <f>G49*'Pomocná data V. PAF'!H123</f>
        <v>0</v>
      </c>
      <c r="H182" s="146">
        <f>H49*'Pomocná data V. PAF'!I123</f>
        <v>0</v>
      </c>
      <c r="I182" s="146">
        <f>I49*'Pomocná data V. PAF'!J123</f>
        <v>0</v>
      </c>
      <c r="J182" s="146">
        <f>J49*'Pomocná data V. PAF'!K123</f>
        <v>0</v>
      </c>
      <c r="K182" s="146">
        <f>K49*'Pomocná data V. PAF'!L123</f>
        <v>0</v>
      </c>
      <c r="L182" s="146">
        <f>L49*'Pomocná data V. PAF'!M123</f>
        <v>25.05992886</v>
      </c>
      <c r="M182" s="146">
        <f>M49*'Pomocná data V. PAF'!N123</f>
        <v>0</v>
      </c>
      <c r="N182" s="146">
        <f>N49*'Pomocná data V. PAF'!O123</f>
        <v>14.44716907</v>
      </c>
      <c r="O182" s="146">
        <f>O49*'Pomocná data V. PAF'!P123</f>
        <v>1.903039061</v>
      </c>
      <c r="P182" s="146">
        <f>P49*'Pomocná data V. PAF'!Q123</f>
        <v>0</v>
      </c>
      <c r="Q182" s="146">
        <f>Q49*'Pomocná data V. PAF'!R123</f>
        <v>0</v>
      </c>
      <c r="R182" s="146">
        <f>R49*'Pomocná data V. PAF'!S123</f>
        <v>3.078756619</v>
      </c>
      <c r="S182" s="146">
        <f>S49*'Pomocná data V. PAF'!T123</f>
        <v>0</v>
      </c>
      <c r="T182" s="146">
        <f>T49*'Pomocná data V. PAF'!U123</f>
        <v>14.77416672</v>
      </c>
      <c r="U182" s="146">
        <f>U49*'Pomocná data V. PAF'!V123</f>
        <v>0</v>
      </c>
      <c r="V182" s="146">
        <f t="shared" si="66"/>
        <v>74.77091425</v>
      </c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</row>
    <row r="183" ht="15.75" customHeight="1">
      <c r="A183" s="380" t="s">
        <v>450</v>
      </c>
      <c r="B183" s="146">
        <f>B50*'Pomocná data V. PAF'!C124</f>
        <v>0</v>
      </c>
      <c r="C183" s="146">
        <f>C50*'Pomocná data V. PAF'!D124</f>
        <v>0</v>
      </c>
      <c r="D183" s="146">
        <f>D50*'Pomocná data V. PAF'!E124</f>
        <v>0</v>
      </c>
      <c r="E183" s="146">
        <f>E50*'Pomocná data V. PAF'!F124</f>
        <v>21.16222853</v>
      </c>
      <c r="F183" s="146">
        <f>F50*'Pomocná data V. PAF'!G124</f>
        <v>0</v>
      </c>
      <c r="G183" s="146">
        <f>G50*'Pomocná data V. PAF'!H124</f>
        <v>0</v>
      </c>
      <c r="H183" s="146">
        <f>H50*'Pomocná data V. PAF'!I124</f>
        <v>7.694402899</v>
      </c>
      <c r="I183" s="146">
        <f>I50*'Pomocná data V. PAF'!J124</f>
        <v>0</v>
      </c>
      <c r="J183" s="146">
        <f>J50*'Pomocná data V. PAF'!K124</f>
        <v>28.019777</v>
      </c>
      <c r="K183" s="146">
        <f>K50*'Pomocná data V. PAF'!L124</f>
        <v>0</v>
      </c>
      <c r="L183" s="146">
        <f>L50*'Pomocná data V. PAF'!M124</f>
        <v>0</v>
      </c>
      <c r="M183" s="146">
        <f>M50*'Pomocná data V. PAF'!N124</f>
        <v>0</v>
      </c>
      <c r="N183" s="146">
        <f>N50*'Pomocná data V. PAF'!O124</f>
        <v>0</v>
      </c>
      <c r="O183" s="146">
        <f>O50*'Pomocná data V. PAF'!P124</f>
        <v>6.487214814</v>
      </c>
      <c r="P183" s="146">
        <f>P50*'Pomocná data V. PAF'!Q124</f>
        <v>0</v>
      </c>
      <c r="Q183" s="146">
        <f>Q50*'Pomocná data V. PAF'!R124</f>
        <v>8.355129613</v>
      </c>
      <c r="R183" s="146">
        <f>R50*'Pomocná data V. PAF'!S124</f>
        <v>3.913913729</v>
      </c>
      <c r="S183" s="146">
        <f>S50*'Pomocná data V. PAF'!T124</f>
        <v>14.3455111</v>
      </c>
      <c r="T183" s="146">
        <f>T50*'Pomocná data V. PAF'!U124</f>
        <v>17.80346949</v>
      </c>
      <c r="U183" s="146">
        <f>U50*'Pomocná data V. PAF'!V124</f>
        <v>22.72800155</v>
      </c>
      <c r="V183" s="146">
        <f t="shared" si="66"/>
        <v>130.5096487</v>
      </c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</row>
    <row r="184" ht="15.75" customHeight="1">
      <c r="A184" s="380" t="s">
        <v>451</v>
      </c>
      <c r="B184" s="146">
        <f>B51*'Pomocná data V. PAF'!C125</f>
        <v>15.89379245</v>
      </c>
      <c r="C184" s="146">
        <f>C51*'Pomocná data V. PAF'!D125</f>
        <v>0</v>
      </c>
      <c r="D184" s="146">
        <f>D51*'Pomocná data V. PAF'!E125</f>
        <v>57.76462336</v>
      </c>
      <c r="E184" s="146">
        <f>E51*'Pomocná data V. PAF'!F125</f>
        <v>58.01471092</v>
      </c>
      <c r="F184" s="146">
        <f>F51*'Pomocná data V. PAF'!G125</f>
        <v>8.160214095</v>
      </c>
      <c r="G184" s="146">
        <f>G51*'Pomocná data V. PAF'!H125</f>
        <v>0</v>
      </c>
      <c r="H184" s="146">
        <f>H51*'Pomocná data V. PAF'!I125</f>
        <v>9.817014241</v>
      </c>
      <c r="I184" s="146">
        <f>I51*'Pomocná data V. PAF'!J125</f>
        <v>75.6</v>
      </c>
      <c r="J184" s="146">
        <f>J51*'Pomocná data V. PAF'!K125</f>
        <v>0</v>
      </c>
      <c r="K184" s="146">
        <f>K51*'Pomocná data V. PAF'!L125</f>
        <v>0</v>
      </c>
      <c r="L184" s="146">
        <f>L51*'Pomocná data V. PAF'!M125</f>
        <v>32.45465078</v>
      </c>
      <c r="M184" s="146">
        <f>M51*'Pomocná data V. PAF'!N125</f>
        <v>0</v>
      </c>
      <c r="N184" s="146">
        <f>N51*'Pomocná data V. PAF'!O125</f>
        <v>20.94281239</v>
      </c>
      <c r="O184" s="146">
        <f>O51*'Pomocná data V. PAF'!P125</f>
        <v>20.34032747</v>
      </c>
      <c r="P184" s="146">
        <f>P51*'Pomocná data V. PAF'!Q125</f>
        <v>14.73043478</v>
      </c>
      <c r="Q184" s="146">
        <f>Q51*'Pomocná data V. PAF'!R125</f>
        <v>21.23051532</v>
      </c>
      <c r="R184" s="146">
        <f>R51*'Pomocná data V. PAF'!S125</f>
        <v>5.117061346</v>
      </c>
      <c r="S184" s="146">
        <f>S51*'Pomocná data V. PAF'!T125</f>
        <v>17.55777351</v>
      </c>
      <c r="T184" s="146">
        <f>T51*'Pomocná data V. PAF'!U125</f>
        <v>42.67676296</v>
      </c>
      <c r="U184" s="146">
        <f>U51*'Pomocná data V. PAF'!V125</f>
        <v>0</v>
      </c>
      <c r="V184" s="146">
        <f t="shared" si="66"/>
        <v>400.3006936</v>
      </c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</row>
    <row r="185" ht="15.75" customHeight="1">
      <c r="A185" s="380" t="s">
        <v>452</v>
      </c>
      <c r="B185" s="146">
        <f>B52*'Pomocná data V. PAF'!C126</f>
        <v>0</v>
      </c>
      <c r="C185" s="146">
        <f>C52*'Pomocná data V. PAF'!D126</f>
        <v>0</v>
      </c>
      <c r="D185" s="146">
        <f>D52*'Pomocná data V. PAF'!E126</f>
        <v>0</v>
      </c>
      <c r="E185" s="146">
        <f>E52*'Pomocná data V. PAF'!F126</f>
        <v>70.02129953</v>
      </c>
      <c r="F185" s="146">
        <f>F52*'Pomocná data V. PAF'!G126</f>
        <v>7.019098143</v>
      </c>
      <c r="G185" s="146">
        <f>G52*'Pomocná data V. PAF'!H126</f>
        <v>0</v>
      </c>
      <c r="H185" s="146">
        <f>H52*'Pomocná data V. PAF'!I126</f>
        <v>16.85816283</v>
      </c>
      <c r="I185" s="146">
        <f>I52*'Pomocná data V. PAF'!J126</f>
        <v>60.6</v>
      </c>
      <c r="J185" s="146">
        <f>J52*'Pomocná data V. PAF'!K126</f>
        <v>26.54453342</v>
      </c>
      <c r="K185" s="146">
        <f>K52*'Pomocná data V. PAF'!L126</f>
        <v>0</v>
      </c>
      <c r="L185" s="146">
        <f>L52*'Pomocná data V. PAF'!M126</f>
        <v>45.33370383</v>
      </c>
      <c r="M185" s="146">
        <f>M52*'Pomocná data V. PAF'!N126</f>
        <v>21.72726651</v>
      </c>
      <c r="N185" s="146">
        <f>N52*'Pomocná data V. PAF'!O126</f>
        <v>17.76809989</v>
      </c>
      <c r="O185" s="146">
        <f>O52*'Pomocná data V. PAF'!P126</f>
        <v>44.43858656</v>
      </c>
      <c r="P185" s="146">
        <f>P52*'Pomocná data V. PAF'!Q126</f>
        <v>29.35562599</v>
      </c>
      <c r="Q185" s="146">
        <f>Q52*'Pomocná data V. PAF'!R126</f>
        <v>24.28428432</v>
      </c>
      <c r="R185" s="146">
        <f>R52*'Pomocná data V. PAF'!S126</f>
        <v>11.77615427</v>
      </c>
      <c r="S185" s="146">
        <f>S52*'Pomocná data V. PAF'!T126</f>
        <v>14.95028249</v>
      </c>
      <c r="T185" s="146">
        <f>T52*'Pomocná data V. PAF'!U126</f>
        <v>54.28816412</v>
      </c>
      <c r="U185" s="146">
        <f>U52*'Pomocná data V. PAF'!V126</f>
        <v>22.31704729</v>
      </c>
      <c r="V185" s="146">
        <f t="shared" si="66"/>
        <v>467.2823092</v>
      </c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</row>
    <row r="186" ht="15.75" customHeight="1">
      <c r="A186" s="380" t="s">
        <v>453</v>
      </c>
      <c r="B186" s="146">
        <f>B53*'Pomocná data V. PAF'!C127</f>
        <v>0</v>
      </c>
      <c r="C186" s="146">
        <f>C53*'Pomocná data V. PAF'!D127</f>
        <v>0</v>
      </c>
      <c r="D186" s="146">
        <f>D53*'Pomocná data V. PAF'!E127</f>
        <v>35.92368272</v>
      </c>
      <c r="E186" s="146">
        <f>E53*'Pomocná data V. PAF'!F127</f>
        <v>180.4187497</v>
      </c>
      <c r="F186" s="146">
        <f>F53*'Pomocná data V. PAF'!G127</f>
        <v>12.96011241</v>
      </c>
      <c r="G186" s="146">
        <f>G53*'Pomocná data V. PAF'!H127</f>
        <v>0</v>
      </c>
      <c r="H186" s="146">
        <f>H53*'Pomocná data V. PAF'!I127</f>
        <v>6.661030004</v>
      </c>
      <c r="I186" s="146">
        <f>I53*'Pomocná data V. PAF'!J127</f>
        <v>45.6</v>
      </c>
      <c r="J186" s="146">
        <f>J53*'Pomocná data V. PAF'!K127</f>
        <v>20.61732625</v>
      </c>
      <c r="K186" s="146">
        <f>K53*'Pomocná data V. PAF'!L127</f>
        <v>0</v>
      </c>
      <c r="L186" s="146">
        <f>L53*'Pomocná data V. PAF'!M127</f>
        <v>49.2648652</v>
      </c>
      <c r="M186" s="146">
        <f>M53*'Pomocná data V. PAF'!N127</f>
        <v>16.95294512</v>
      </c>
      <c r="N186" s="146">
        <f>N53*'Pomocná data V. PAF'!O127</f>
        <v>13.91609788</v>
      </c>
      <c r="O186" s="146">
        <f>O53*'Pomocná data V. PAF'!P127</f>
        <v>45.60785898</v>
      </c>
      <c r="P186" s="146">
        <f>P53*'Pomocná data V. PAF'!Q127</f>
        <v>36.30912792</v>
      </c>
      <c r="Q186" s="146">
        <f>Q53*'Pomocná data V. PAF'!R127</f>
        <v>33.56151089</v>
      </c>
      <c r="R186" s="146">
        <f>R53*'Pomocná data V. PAF'!S127</f>
        <v>15.18091616</v>
      </c>
      <c r="S186" s="146">
        <f>S53*'Pomocná data V. PAF'!T127</f>
        <v>11.74070911</v>
      </c>
      <c r="T186" s="146">
        <f>T53*'Pomocná data V. PAF'!U127</f>
        <v>23.6142062</v>
      </c>
      <c r="U186" s="146">
        <f>U53*'Pomocná data V. PAF'!V127</f>
        <v>17.40337803</v>
      </c>
      <c r="V186" s="146">
        <f t="shared" si="66"/>
        <v>565.7325165</v>
      </c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</row>
    <row r="187" ht="15.75" customHeight="1">
      <c r="A187" s="380" t="s">
        <v>454</v>
      </c>
      <c r="B187" s="146">
        <f>B54*'Pomocná data V. PAF'!C128</f>
        <v>7.963180399</v>
      </c>
      <c r="C187" s="146">
        <f>C54*'Pomocná data V. PAF'!D128</f>
        <v>0</v>
      </c>
      <c r="D187" s="146">
        <f>D54*'Pomocná data V. PAF'!E128</f>
        <v>66.14542528</v>
      </c>
      <c r="E187" s="146">
        <f>E54*'Pomocná data V. PAF'!F128</f>
        <v>208.4762263</v>
      </c>
      <c r="F187" s="146">
        <f>F54*'Pomocná data V. PAF'!G128</f>
        <v>14.0613846</v>
      </c>
      <c r="G187" s="146">
        <f>G54*'Pomocná data V. PAF'!H128</f>
        <v>0</v>
      </c>
      <c r="H187" s="146">
        <f>H54*'Pomocná data V. PAF'!I128</f>
        <v>5.040574335</v>
      </c>
      <c r="I187" s="146">
        <f>I54*'Pomocná data V. PAF'!J128</f>
        <v>30.6</v>
      </c>
      <c r="J187" s="146">
        <f>J54*'Pomocná data V. PAF'!K128</f>
        <v>14.91899068</v>
      </c>
      <c r="K187" s="146">
        <f>K54*'Pomocná data V. PAF'!L128</f>
        <v>0</v>
      </c>
      <c r="L187" s="146">
        <f>L54*'Pomocná data V. PAF'!M128</f>
        <v>45.76292461</v>
      </c>
      <c r="M187" s="146">
        <f>M54*'Pomocná data V. PAF'!N128</f>
        <v>24.81993532</v>
      </c>
      <c r="N187" s="146">
        <f>N54*'Pomocná data V. PAF'!O128</f>
        <v>24.00065722</v>
      </c>
      <c r="O187" s="146">
        <f>O54*'Pomocná data V. PAF'!P128</f>
        <v>39.54339099</v>
      </c>
      <c r="P187" s="146">
        <f>P54*'Pomocná data V. PAF'!Q128</f>
        <v>51.90268222</v>
      </c>
      <c r="Q187" s="146">
        <f>Q54*'Pomocná data V. PAF'!R128</f>
        <v>32.59639351</v>
      </c>
      <c r="R187" s="146">
        <f>R54*'Pomocná data V. PAF'!S128</f>
        <v>29.4663978</v>
      </c>
      <c r="S187" s="146">
        <f>S54*'Pomocná data V. PAF'!T128</f>
        <v>17.47790677</v>
      </c>
      <c r="T187" s="146">
        <f>T54*'Pomocná data V. PAF'!U128</f>
        <v>73.24880978</v>
      </c>
      <c r="U187" s="146">
        <f>U54*'Pomocná data V. PAF'!V128</f>
        <v>12.72152107</v>
      </c>
      <c r="V187" s="146">
        <f t="shared" si="66"/>
        <v>698.7464008</v>
      </c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</row>
    <row r="188" ht="15.75" customHeight="1">
      <c r="A188" s="380" t="s">
        <v>455</v>
      </c>
      <c r="B188" s="146">
        <f>B55*'Pomocná data V. PAF'!C129</f>
        <v>4.509111591</v>
      </c>
      <c r="C188" s="146">
        <f>C55*'Pomocná data V. PAF'!D129</f>
        <v>0</v>
      </c>
      <c r="D188" s="146">
        <f>D55*'Pomocná data V. PAF'!E129</f>
        <v>56.23193015</v>
      </c>
      <c r="E188" s="146">
        <f>E55*'Pomocná data V. PAF'!F129</f>
        <v>184.7513807</v>
      </c>
      <c r="F188" s="146">
        <f>F55*'Pomocná data V. PAF'!G129</f>
        <v>11.35503038</v>
      </c>
      <c r="G188" s="146">
        <f>G55*'Pomocná data V. PAF'!H129</f>
        <v>0</v>
      </c>
      <c r="H188" s="146">
        <f>H55*'Pomocná data V. PAF'!I129</f>
        <v>8.686767868</v>
      </c>
      <c r="I188" s="146">
        <f>I55*'Pomocná data V. PAF'!J129</f>
        <v>15.6</v>
      </c>
      <c r="J188" s="146">
        <f>J55*'Pomocná data V. PAF'!K129</f>
        <v>8.169871783</v>
      </c>
      <c r="K188" s="146">
        <f>K55*'Pomocná data V. PAF'!L129</f>
        <v>0</v>
      </c>
      <c r="L188" s="146">
        <f>L55*'Pomocná data V. PAF'!M129</f>
        <v>25.02080751</v>
      </c>
      <c r="M188" s="146">
        <f>M55*'Pomocná data V. PAF'!N129</f>
        <v>20.63252818</v>
      </c>
      <c r="N188" s="146">
        <f>N55*'Pomocná data V. PAF'!O129</f>
        <v>34.55382286</v>
      </c>
      <c r="O188" s="146">
        <f>O55*'Pomocná data V. PAF'!P129</f>
        <v>30.35924178</v>
      </c>
      <c r="P188" s="146">
        <f>P55*'Pomocná data V. PAF'!Q129</f>
        <v>77.17990654</v>
      </c>
      <c r="Q188" s="146">
        <f>Q55*'Pomocná data V. PAF'!R129</f>
        <v>34.26286775</v>
      </c>
      <c r="R188" s="146">
        <f>R55*'Pomocná data V. PAF'!S129</f>
        <v>23.87521244</v>
      </c>
      <c r="S188" s="146">
        <f>S55*'Pomocná data V. PAF'!T129</f>
        <v>29.57811218</v>
      </c>
      <c r="T188" s="146">
        <f>T55*'Pomocná data V. PAF'!U129</f>
        <v>62.43898538</v>
      </c>
      <c r="U188" s="146">
        <f>U55*'Pomocná data V. PAF'!V129</f>
        <v>49.27770144</v>
      </c>
      <c r="V188" s="146">
        <f t="shared" si="66"/>
        <v>676.4832785</v>
      </c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</row>
    <row r="189" ht="15.75" customHeight="1">
      <c r="A189" s="380" t="s">
        <v>456</v>
      </c>
      <c r="B189" s="146">
        <f>B56*'Pomocná data V. PAF'!C130</f>
        <v>0.1734273689</v>
      </c>
      <c r="C189" s="146">
        <f>C56*'Pomocná data V. PAF'!D130</f>
        <v>0</v>
      </c>
      <c r="D189" s="146">
        <f>D56*'Pomocná data V. PAF'!E130</f>
        <v>8.48469952</v>
      </c>
      <c r="E189" s="146">
        <f>E56*'Pomocná data V. PAF'!F130</f>
        <v>19.00593443</v>
      </c>
      <c r="F189" s="146">
        <f>F56*'Pomocná data V. PAF'!G130</f>
        <v>0.9982444294</v>
      </c>
      <c r="G189" s="146">
        <f>G56*'Pomocná data V. PAF'!H130</f>
        <v>0</v>
      </c>
      <c r="H189" s="146">
        <f>H56*'Pomocná data V. PAF'!I130</f>
        <v>0.6310899733</v>
      </c>
      <c r="I189" s="146">
        <f>I56*'Pomocná data V. PAF'!J130</f>
        <v>1.4</v>
      </c>
      <c r="J189" s="146">
        <f>J56*'Pomocná data V. PAF'!K130</f>
        <v>0.3142258378</v>
      </c>
      <c r="K189" s="146">
        <f>K56*'Pomocná data V. PAF'!L130</f>
        <v>0</v>
      </c>
      <c r="L189" s="146">
        <f>L56*'Pomocná data V. PAF'!M130</f>
        <v>1.176191806</v>
      </c>
      <c r="M189" s="146">
        <f>M56*'Pomocná data V. PAF'!N130</f>
        <v>2.116156736</v>
      </c>
      <c r="N189" s="146">
        <f>N56*'Pomocná data V. PAF'!O130</f>
        <v>1.919656826</v>
      </c>
      <c r="O189" s="146">
        <f>O56*'Pomocná data V. PAF'!P130</f>
        <v>2.221098374</v>
      </c>
      <c r="P189" s="146">
        <f>P56*'Pomocná data V. PAF'!Q130</f>
        <v>5.55911215</v>
      </c>
      <c r="Q189" s="146">
        <f>Q56*'Pomocná data V. PAF'!R130</f>
        <v>2.07653744</v>
      </c>
      <c r="R189" s="146">
        <f>R56*'Pomocná data V. PAF'!S130</f>
        <v>1.836554803</v>
      </c>
      <c r="S189" s="146">
        <f>S56*'Pomocná data V. PAF'!T130</f>
        <v>2.464842681</v>
      </c>
      <c r="T189" s="146">
        <f>T56*'Pomocná data V. PAF'!U130</f>
        <v>5.403373735</v>
      </c>
      <c r="U189" s="146">
        <f>U56*'Pomocná data V. PAF'!V130</f>
        <v>4.06134902</v>
      </c>
      <c r="V189" s="146">
        <f t="shared" si="66"/>
        <v>59.84249513</v>
      </c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</row>
    <row r="190" ht="15.75" customHeight="1">
      <c r="A190" s="13" t="s">
        <v>68</v>
      </c>
      <c r="B190" s="505">
        <f t="shared" ref="B190:V190" si="67">SUM(B180:B189)</f>
        <v>39.01393741</v>
      </c>
      <c r="C190" s="505">
        <f t="shared" si="67"/>
        <v>0</v>
      </c>
      <c r="D190" s="505">
        <f t="shared" si="67"/>
        <v>224.550361</v>
      </c>
      <c r="E190" s="505">
        <f t="shared" si="67"/>
        <v>741.85053</v>
      </c>
      <c r="F190" s="505">
        <f t="shared" si="67"/>
        <v>63.48536414</v>
      </c>
      <c r="G190" s="505">
        <f t="shared" si="67"/>
        <v>0</v>
      </c>
      <c r="H190" s="505">
        <f t="shared" si="67"/>
        <v>60.16040962</v>
      </c>
      <c r="I190" s="505">
        <f t="shared" si="67"/>
        <v>229.4</v>
      </c>
      <c r="J190" s="505">
        <f t="shared" si="67"/>
        <v>98.58472497</v>
      </c>
      <c r="K190" s="505">
        <f t="shared" si="67"/>
        <v>0</v>
      </c>
      <c r="L190" s="505">
        <f t="shared" si="67"/>
        <v>244.808599</v>
      </c>
      <c r="M190" s="505">
        <f t="shared" si="67"/>
        <v>86.24883187</v>
      </c>
      <c r="N190" s="505">
        <f t="shared" si="67"/>
        <v>127.5483161</v>
      </c>
      <c r="O190" s="505">
        <f t="shared" si="67"/>
        <v>190.900758</v>
      </c>
      <c r="P190" s="505">
        <f t="shared" si="67"/>
        <v>215.0368896</v>
      </c>
      <c r="Q190" s="505">
        <f t="shared" si="67"/>
        <v>156.3672389</v>
      </c>
      <c r="R190" s="505">
        <f t="shared" si="67"/>
        <v>94.24496717</v>
      </c>
      <c r="S190" s="505">
        <f t="shared" si="67"/>
        <v>108.1151378</v>
      </c>
      <c r="T190" s="505">
        <f t="shared" si="67"/>
        <v>313.0776195</v>
      </c>
      <c r="U190" s="505">
        <f t="shared" si="67"/>
        <v>128.5089984</v>
      </c>
      <c r="V190" s="507">
        <f t="shared" si="67"/>
        <v>3121.902683</v>
      </c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</row>
    <row r="191" ht="15.75" customHeight="1">
      <c r="A191" s="506"/>
      <c r="B191" s="408"/>
      <c r="C191" s="408"/>
      <c r="D191" s="408"/>
      <c r="E191" s="408"/>
      <c r="F191" s="408"/>
      <c r="G191" s="408"/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  <c r="AA191" s="408"/>
      <c r="AB191" s="408"/>
      <c r="AC191" s="408"/>
      <c r="AD191" s="408"/>
      <c r="AE191" s="408"/>
      <c r="AF191" s="408"/>
      <c r="AG191" s="408"/>
      <c r="AH191" s="408"/>
      <c r="AI191" s="408"/>
      <c r="AJ191" s="408"/>
      <c r="AK191" s="408"/>
      <c r="AL191" s="408"/>
      <c r="AM191" s="408"/>
      <c r="AN191" s="408"/>
      <c r="AO191" s="408"/>
      <c r="AP191" s="408"/>
      <c r="AQ191" s="408"/>
      <c r="AR191" s="408"/>
      <c r="AS191" s="408"/>
    </row>
    <row r="192" ht="15.75" customHeight="1">
      <c r="A192" s="376" t="s">
        <v>605</v>
      </c>
      <c r="D192" s="376"/>
      <c r="E192" s="376"/>
      <c r="F192" s="376"/>
      <c r="G192" s="376"/>
      <c r="H192" s="376"/>
      <c r="I192" s="376"/>
      <c r="J192" s="376"/>
      <c r="K192" s="376"/>
      <c r="L192" s="376"/>
      <c r="M192" s="376"/>
      <c r="N192" s="376"/>
      <c r="O192" s="376"/>
      <c r="P192" s="376"/>
      <c r="Q192" s="376"/>
      <c r="R192" s="376"/>
      <c r="S192" s="376"/>
      <c r="T192" s="376"/>
      <c r="U192" s="376"/>
      <c r="V192" s="376"/>
      <c r="W192" s="376"/>
      <c r="X192" s="376"/>
      <c r="Y192" s="376"/>
      <c r="Z192" s="376"/>
      <c r="AA192" s="376"/>
      <c r="AB192" s="376"/>
      <c r="AC192" s="376"/>
      <c r="AD192" s="376"/>
      <c r="AE192" s="376"/>
      <c r="AF192" s="376"/>
      <c r="AG192" s="376"/>
      <c r="AH192" s="376"/>
      <c r="AI192" s="376"/>
      <c r="AJ192" s="376"/>
      <c r="AK192" s="376"/>
      <c r="AL192" s="376"/>
      <c r="AM192" s="376"/>
      <c r="AN192" s="376"/>
      <c r="AO192" s="376"/>
      <c r="AP192" s="376"/>
      <c r="AQ192" s="376"/>
      <c r="AR192" s="376"/>
      <c r="AS192" s="376"/>
    </row>
    <row r="193" ht="15.75" customHeight="1">
      <c r="A193" s="262" t="s">
        <v>468</v>
      </c>
      <c r="B193" s="504" t="s">
        <v>288</v>
      </c>
      <c r="C193" s="504" t="s">
        <v>405</v>
      </c>
      <c r="D193" s="504" t="s">
        <v>469</v>
      </c>
      <c r="E193" s="504" t="s">
        <v>294</v>
      </c>
      <c r="F193" s="504" t="s">
        <v>296</v>
      </c>
      <c r="G193" s="504" t="s">
        <v>298</v>
      </c>
      <c r="H193" s="504" t="s">
        <v>300</v>
      </c>
      <c r="I193" s="504" t="s">
        <v>89</v>
      </c>
      <c r="J193" s="504" t="s">
        <v>303</v>
      </c>
      <c r="K193" s="504" t="s">
        <v>470</v>
      </c>
      <c r="L193" s="504" t="s">
        <v>307</v>
      </c>
      <c r="M193" s="504" t="s">
        <v>406</v>
      </c>
      <c r="N193" s="504" t="s">
        <v>311</v>
      </c>
      <c r="O193" s="504" t="s">
        <v>313</v>
      </c>
      <c r="P193" s="504" t="s">
        <v>315</v>
      </c>
      <c r="Q193" s="504" t="s">
        <v>407</v>
      </c>
      <c r="R193" s="504" t="s">
        <v>319</v>
      </c>
      <c r="S193" s="504" t="s">
        <v>321</v>
      </c>
      <c r="T193" s="504" t="s">
        <v>323</v>
      </c>
      <c r="U193" s="504" t="s">
        <v>408</v>
      </c>
      <c r="V193" s="198"/>
      <c r="W193" s="14"/>
      <c r="X193" s="14"/>
      <c r="Y193" s="14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198"/>
    </row>
    <row r="194" ht="15.75" customHeight="1">
      <c r="A194" s="381" t="s">
        <v>447</v>
      </c>
      <c r="B194" s="149">
        <f t="shared" ref="B194:U194" si="68">B163-B180</f>
        <v>0</v>
      </c>
      <c r="C194" s="149">
        <f t="shared" si="68"/>
        <v>0</v>
      </c>
      <c r="D194" s="149">
        <f t="shared" si="68"/>
        <v>0</v>
      </c>
      <c r="E194" s="149">
        <f t="shared" si="68"/>
        <v>0</v>
      </c>
      <c r="F194" s="149">
        <f t="shared" si="68"/>
        <v>0</v>
      </c>
      <c r="G194" s="149">
        <f t="shared" si="68"/>
        <v>0</v>
      </c>
      <c r="H194" s="149">
        <f t="shared" si="68"/>
        <v>0</v>
      </c>
      <c r="I194" s="149">
        <f t="shared" si="68"/>
        <v>0</v>
      </c>
      <c r="J194" s="149">
        <f t="shared" si="68"/>
        <v>0</v>
      </c>
      <c r="K194" s="149">
        <f t="shared" si="68"/>
        <v>0</v>
      </c>
      <c r="L194" s="149">
        <f t="shared" si="68"/>
        <v>0</v>
      </c>
      <c r="M194" s="149">
        <f t="shared" si="68"/>
        <v>0</v>
      </c>
      <c r="N194" s="149">
        <f t="shared" si="68"/>
        <v>0</v>
      </c>
      <c r="O194" s="149">
        <f t="shared" si="68"/>
        <v>0</v>
      </c>
      <c r="P194" s="149">
        <f t="shared" si="68"/>
        <v>0</v>
      </c>
      <c r="Q194" s="149">
        <f t="shared" si="68"/>
        <v>0</v>
      </c>
      <c r="R194" s="149">
        <f t="shared" si="68"/>
        <v>0</v>
      </c>
      <c r="S194" s="149">
        <f t="shared" si="68"/>
        <v>0</v>
      </c>
      <c r="T194" s="149">
        <f t="shared" si="68"/>
        <v>2.516176749</v>
      </c>
      <c r="U194" s="149">
        <f t="shared" si="68"/>
        <v>0</v>
      </c>
      <c r="V194" s="198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</row>
    <row r="195" ht="15.75" customHeight="1">
      <c r="A195" s="381" t="s">
        <v>448</v>
      </c>
      <c r="B195" s="149">
        <f t="shared" ref="B195:U195" si="69">B164-B181</f>
        <v>0</v>
      </c>
      <c r="C195" s="149">
        <f t="shared" si="69"/>
        <v>0</v>
      </c>
      <c r="D195" s="149">
        <f t="shared" si="69"/>
        <v>0</v>
      </c>
      <c r="E195" s="149">
        <f t="shared" si="69"/>
        <v>0</v>
      </c>
      <c r="F195" s="149">
        <f t="shared" si="69"/>
        <v>2.1331527</v>
      </c>
      <c r="G195" s="149">
        <f t="shared" si="69"/>
        <v>0</v>
      </c>
      <c r="H195" s="149">
        <f t="shared" si="69"/>
        <v>2.611196128</v>
      </c>
      <c r="I195" s="149">
        <f t="shared" si="69"/>
        <v>0</v>
      </c>
      <c r="J195" s="149">
        <f t="shared" si="69"/>
        <v>0</v>
      </c>
      <c r="K195" s="149">
        <f t="shared" si="69"/>
        <v>0</v>
      </c>
      <c r="L195" s="149">
        <f t="shared" si="69"/>
        <v>11.34780052</v>
      </c>
      <c r="M195" s="149">
        <f t="shared" si="69"/>
        <v>0</v>
      </c>
      <c r="N195" s="149">
        <f t="shared" si="69"/>
        <v>0</v>
      </c>
      <c r="O195" s="149">
        <f t="shared" si="69"/>
        <v>0</v>
      </c>
      <c r="P195" s="149">
        <f t="shared" si="69"/>
        <v>0</v>
      </c>
      <c r="Q195" s="149">
        <f t="shared" si="69"/>
        <v>0</v>
      </c>
      <c r="R195" s="149">
        <f t="shared" si="69"/>
        <v>0</v>
      </c>
      <c r="S195" s="149">
        <f t="shared" si="69"/>
        <v>0</v>
      </c>
      <c r="T195" s="149">
        <f t="shared" si="69"/>
        <v>6.462766677</v>
      </c>
      <c r="U195" s="149">
        <f t="shared" si="69"/>
        <v>0</v>
      </c>
      <c r="V195" s="198"/>
      <c r="W195" s="14"/>
      <c r="X195" s="14"/>
      <c r="Y195" s="14"/>
      <c r="Z195" s="198"/>
      <c r="AA195" s="198"/>
      <c r="AB195" s="198"/>
      <c r="AC195" s="198"/>
      <c r="AD195" s="198"/>
      <c r="AE195" s="198"/>
      <c r="AF195" s="198"/>
      <c r="AG195" s="198"/>
      <c r="AH195" s="198"/>
      <c r="AI195" s="198"/>
      <c r="AJ195" s="198"/>
      <c r="AK195" s="198"/>
      <c r="AL195" s="198"/>
      <c r="AM195" s="198"/>
      <c r="AN195" s="198"/>
      <c r="AO195" s="198"/>
      <c r="AP195" s="198"/>
      <c r="AQ195" s="198"/>
      <c r="AR195" s="198"/>
      <c r="AS195" s="198"/>
    </row>
    <row r="196" ht="15.75" customHeight="1">
      <c r="A196" s="381" t="s">
        <v>449</v>
      </c>
      <c r="B196" s="149">
        <f t="shared" ref="B196:U196" si="70">B165-B182</f>
        <v>6.576272893</v>
      </c>
      <c r="C196" s="149">
        <f t="shared" si="70"/>
        <v>0</v>
      </c>
      <c r="D196" s="149">
        <f t="shared" si="70"/>
        <v>0</v>
      </c>
      <c r="E196" s="149">
        <f t="shared" si="70"/>
        <v>0</v>
      </c>
      <c r="F196" s="149">
        <f t="shared" si="70"/>
        <v>3.160192215</v>
      </c>
      <c r="G196" s="149">
        <f t="shared" si="70"/>
        <v>0</v>
      </c>
      <c r="H196" s="149">
        <f t="shared" si="70"/>
        <v>0</v>
      </c>
      <c r="I196" s="149">
        <f t="shared" si="70"/>
        <v>0</v>
      </c>
      <c r="J196" s="149">
        <f t="shared" si="70"/>
        <v>0</v>
      </c>
      <c r="K196" s="149">
        <f t="shared" si="70"/>
        <v>0</v>
      </c>
      <c r="L196" s="149">
        <f t="shared" si="70"/>
        <v>15.73364852</v>
      </c>
      <c r="M196" s="149">
        <f t="shared" si="70"/>
        <v>0</v>
      </c>
      <c r="N196" s="149">
        <f t="shared" si="70"/>
        <v>9.070523761</v>
      </c>
      <c r="O196" s="149">
        <f t="shared" si="70"/>
        <v>1.194805774</v>
      </c>
      <c r="P196" s="149">
        <f t="shared" si="70"/>
        <v>0</v>
      </c>
      <c r="Q196" s="149">
        <f t="shared" si="70"/>
        <v>0</v>
      </c>
      <c r="R196" s="149">
        <f t="shared" si="70"/>
        <v>1.932969355</v>
      </c>
      <c r="S196" s="149">
        <f t="shared" si="70"/>
        <v>0</v>
      </c>
      <c r="T196" s="149">
        <f t="shared" si="70"/>
        <v>9.275826263</v>
      </c>
      <c r="U196" s="149">
        <f t="shared" si="70"/>
        <v>0</v>
      </c>
      <c r="V196" s="198"/>
      <c r="W196" s="198"/>
      <c r="X196" s="198"/>
      <c r="Y196" s="198"/>
      <c r="Z196" s="198"/>
      <c r="AA196" s="198"/>
      <c r="AB196" s="198"/>
      <c r="AC196" s="198"/>
      <c r="AD196" s="198"/>
      <c r="AE196" s="198"/>
      <c r="AF196" s="198"/>
      <c r="AG196" s="198"/>
      <c r="AH196" s="198"/>
      <c r="AI196" s="198"/>
      <c r="AJ196" s="198"/>
      <c r="AK196" s="198"/>
      <c r="AL196" s="198"/>
      <c r="AM196" s="198"/>
      <c r="AN196" s="198"/>
      <c r="AO196" s="198"/>
      <c r="AP196" s="198"/>
      <c r="AQ196" s="198"/>
      <c r="AR196" s="198"/>
      <c r="AS196" s="198"/>
    </row>
    <row r="197" ht="15.75" customHeight="1">
      <c r="A197" s="381" t="s">
        <v>450</v>
      </c>
      <c r="B197" s="149">
        <f t="shared" ref="B197:U197" si="71">B166-B183</f>
        <v>0</v>
      </c>
      <c r="C197" s="149">
        <f t="shared" si="71"/>
        <v>0</v>
      </c>
      <c r="D197" s="149">
        <f t="shared" si="71"/>
        <v>0</v>
      </c>
      <c r="E197" s="149">
        <f t="shared" si="71"/>
        <v>15.55634017</v>
      </c>
      <c r="F197" s="149">
        <f t="shared" si="71"/>
        <v>0</v>
      </c>
      <c r="G197" s="149">
        <f t="shared" si="71"/>
        <v>0</v>
      </c>
      <c r="H197" s="149">
        <f t="shared" si="71"/>
        <v>5.656150475</v>
      </c>
      <c r="I197" s="149">
        <f t="shared" si="71"/>
        <v>0</v>
      </c>
      <c r="J197" s="149">
        <f t="shared" si="71"/>
        <v>20.59731952</v>
      </c>
      <c r="K197" s="149">
        <f t="shared" si="71"/>
        <v>0</v>
      </c>
      <c r="L197" s="149">
        <f t="shared" si="71"/>
        <v>0</v>
      </c>
      <c r="M197" s="149">
        <f t="shared" si="71"/>
        <v>0</v>
      </c>
      <c r="N197" s="149">
        <f t="shared" si="71"/>
        <v>0</v>
      </c>
      <c r="O197" s="149">
        <f t="shared" si="71"/>
        <v>4.768747314</v>
      </c>
      <c r="P197" s="149">
        <f t="shared" si="71"/>
        <v>0</v>
      </c>
      <c r="Q197" s="149">
        <f t="shared" si="71"/>
        <v>6.141850246</v>
      </c>
      <c r="R197" s="149">
        <f t="shared" si="71"/>
        <v>2.87711539</v>
      </c>
      <c r="S197" s="149">
        <f t="shared" si="71"/>
        <v>10.54537571</v>
      </c>
      <c r="T197" s="149">
        <f t="shared" si="71"/>
        <v>13.08731863</v>
      </c>
      <c r="U197" s="149">
        <f t="shared" si="71"/>
        <v>16.70733889</v>
      </c>
      <c r="V197" s="198"/>
      <c r="W197" s="198"/>
      <c r="X197" s="198"/>
      <c r="Y197" s="198"/>
      <c r="Z197" s="198"/>
      <c r="AA197" s="198"/>
      <c r="AB197" s="198"/>
      <c r="AC197" s="198"/>
      <c r="AD197" s="198"/>
      <c r="AE197" s="198"/>
      <c r="AF197" s="198"/>
      <c r="AG197" s="198"/>
      <c r="AH197" s="198"/>
      <c r="AI197" s="198"/>
      <c r="AJ197" s="198"/>
      <c r="AK197" s="198"/>
      <c r="AL197" s="198"/>
      <c r="AM197" s="198"/>
      <c r="AN197" s="198"/>
      <c r="AO197" s="198"/>
      <c r="AP197" s="198"/>
      <c r="AQ197" s="198"/>
      <c r="AR197" s="198"/>
      <c r="AS197" s="198"/>
    </row>
    <row r="198" ht="15.75" customHeight="1">
      <c r="A198" s="381" t="s">
        <v>451</v>
      </c>
      <c r="B198" s="149">
        <f t="shared" ref="B198:U198" si="72">B167-B184</f>
        <v>14.06474491</v>
      </c>
      <c r="C198" s="149">
        <f t="shared" si="72"/>
        <v>0</v>
      </c>
      <c r="D198" s="149">
        <f t="shared" si="72"/>
        <v>51.11710718</v>
      </c>
      <c r="E198" s="149">
        <f t="shared" si="72"/>
        <v>51.33841482</v>
      </c>
      <c r="F198" s="149">
        <f t="shared" si="72"/>
        <v>7.221141838</v>
      </c>
      <c r="G198" s="149">
        <f t="shared" si="72"/>
        <v>0</v>
      </c>
      <c r="H198" s="149">
        <f t="shared" si="72"/>
        <v>8.687278476</v>
      </c>
      <c r="I198" s="149">
        <f t="shared" si="72"/>
        <v>66.9</v>
      </c>
      <c r="J198" s="149">
        <f t="shared" si="72"/>
        <v>0</v>
      </c>
      <c r="K198" s="149">
        <f t="shared" si="72"/>
        <v>0</v>
      </c>
      <c r="L198" s="149">
        <f t="shared" si="72"/>
        <v>28.71979017</v>
      </c>
      <c r="M198" s="149">
        <f t="shared" si="72"/>
        <v>0</v>
      </c>
      <c r="N198" s="149">
        <f t="shared" si="72"/>
        <v>18.53272683</v>
      </c>
      <c r="O198" s="149">
        <f t="shared" si="72"/>
        <v>17.9995755</v>
      </c>
      <c r="P198" s="149">
        <f t="shared" si="72"/>
        <v>13.0352657</v>
      </c>
      <c r="Q198" s="149">
        <f t="shared" si="72"/>
        <v>18.7873211</v>
      </c>
      <c r="R198" s="149">
        <f t="shared" si="72"/>
        <v>4.528193175</v>
      </c>
      <c r="S198" s="149">
        <f t="shared" si="72"/>
        <v>15.53723608</v>
      </c>
      <c r="T198" s="149">
        <f t="shared" si="72"/>
        <v>37.76554818</v>
      </c>
      <c r="U198" s="149">
        <f t="shared" si="72"/>
        <v>0</v>
      </c>
      <c r="V198" s="198"/>
      <c r="W198" s="198"/>
      <c r="X198" s="198"/>
      <c r="Y198" s="198"/>
      <c r="Z198" s="19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</row>
    <row r="199" ht="15.75" customHeight="1">
      <c r="A199" s="381" t="s">
        <v>452</v>
      </c>
      <c r="B199" s="149">
        <f t="shared" ref="B199:U199" si="73">B168-B185</f>
        <v>0</v>
      </c>
      <c r="C199" s="149">
        <f t="shared" si="73"/>
        <v>0</v>
      </c>
      <c r="D199" s="149">
        <f t="shared" si="73"/>
        <v>0</v>
      </c>
      <c r="E199" s="149">
        <f t="shared" si="73"/>
        <v>77.64738166</v>
      </c>
      <c r="F199" s="149">
        <f t="shared" si="73"/>
        <v>7.783554377</v>
      </c>
      <c r="G199" s="149">
        <f t="shared" si="73"/>
        <v>0</v>
      </c>
      <c r="H199" s="149">
        <f t="shared" si="73"/>
        <v>18.69420036</v>
      </c>
      <c r="I199" s="149">
        <f t="shared" si="73"/>
        <v>67.2</v>
      </c>
      <c r="J199" s="149">
        <f t="shared" si="73"/>
        <v>29.43552221</v>
      </c>
      <c r="K199" s="149">
        <f t="shared" si="73"/>
        <v>0</v>
      </c>
      <c r="L199" s="149">
        <f t="shared" si="73"/>
        <v>50.27103791</v>
      </c>
      <c r="M199" s="149">
        <f t="shared" si="73"/>
        <v>24.09360246</v>
      </c>
      <c r="N199" s="149">
        <f t="shared" si="73"/>
        <v>19.70323949</v>
      </c>
      <c r="O199" s="149">
        <f t="shared" si="73"/>
        <v>49.27843262</v>
      </c>
      <c r="P199" s="149">
        <f t="shared" si="73"/>
        <v>32.55277338</v>
      </c>
      <c r="Q199" s="149">
        <f t="shared" si="73"/>
        <v>26.92910736</v>
      </c>
      <c r="R199" s="149">
        <f t="shared" si="73"/>
        <v>13.05870573</v>
      </c>
      <c r="S199" s="149">
        <f t="shared" si="73"/>
        <v>16.57853107</v>
      </c>
      <c r="T199" s="149">
        <f t="shared" si="73"/>
        <v>60.20073645</v>
      </c>
      <c r="U199" s="149">
        <f t="shared" si="73"/>
        <v>24.74761679</v>
      </c>
      <c r="V199" s="198"/>
      <c r="W199" s="198"/>
      <c r="X199" s="198"/>
      <c r="Y199" s="198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  <c r="AL199" s="198"/>
      <c r="AM199" s="198"/>
      <c r="AN199" s="198"/>
      <c r="AO199" s="198"/>
      <c r="AP199" s="198"/>
      <c r="AQ199" s="198"/>
      <c r="AR199" s="198"/>
      <c r="AS199" s="198"/>
    </row>
    <row r="200" ht="15.75" customHeight="1">
      <c r="A200" s="381" t="s">
        <v>453</v>
      </c>
      <c r="B200" s="149">
        <f t="shared" ref="B200:U200" si="74">B169-B186</f>
        <v>0</v>
      </c>
      <c r="C200" s="149">
        <f t="shared" si="74"/>
        <v>0</v>
      </c>
      <c r="D200" s="149">
        <f t="shared" si="74"/>
        <v>53.41284404</v>
      </c>
      <c r="E200" s="149">
        <f t="shared" si="74"/>
        <v>268.2541936</v>
      </c>
      <c r="F200" s="149">
        <f t="shared" si="74"/>
        <v>19.26964082</v>
      </c>
      <c r="G200" s="149">
        <f t="shared" si="74"/>
        <v>0</v>
      </c>
      <c r="H200" s="149">
        <f t="shared" si="74"/>
        <v>9.903899874</v>
      </c>
      <c r="I200" s="149">
        <f t="shared" si="74"/>
        <v>67.8</v>
      </c>
      <c r="J200" s="149">
        <f t="shared" si="74"/>
        <v>30.65470877</v>
      </c>
      <c r="K200" s="149">
        <f t="shared" si="74"/>
        <v>0</v>
      </c>
      <c r="L200" s="149">
        <f t="shared" si="74"/>
        <v>73.24907589</v>
      </c>
      <c r="M200" s="149">
        <f t="shared" si="74"/>
        <v>25.20635261</v>
      </c>
      <c r="N200" s="149">
        <f t="shared" si="74"/>
        <v>20.69104026</v>
      </c>
      <c r="O200" s="149">
        <f t="shared" si="74"/>
        <v>67.81168507</v>
      </c>
      <c r="P200" s="149">
        <f t="shared" si="74"/>
        <v>53.98594019</v>
      </c>
      <c r="Q200" s="149">
        <f t="shared" si="74"/>
        <v>49.90066751</v>
      </c>
      <c r="R200" s="149">
        <f t="shared" si="74"/>
        <v>22.57162534</v>
      </c>
      <c r="S200" s="149">
        <f t="shared" si="74"/>
        <v>17.45658066</v>
      </c>
      <c r="T200" s="149">
        <f t="shared" si="74"/>
        <v>35.11059606</v>
      </c>
      <c r="U200" s="149">
        <f t="shared" si="74"/>
        <v>25.87607523</v>
      </c>
      <c r="V200" s="198"/>
      <c r="W200" s="198"/>
      <c r="X200" s="198"/>
      <c r="Y200" s="198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  <c r="AL200" s="198"/>
      <c r="AM200" s="198"/>
      <c r="AN200" s="198"/>
      <c r="AO200" s="198"/>
      <c r="AP200" s="198"/>
      <c r="AQ200" s="198"/>
      <c r="AR200" s="198"/>
      <c r="AS200" s="198"/>
    </row>
    <row r="201" ht="15.75" customHeight="1">
      <c r="A201" s="381" t="s">
        <v>454</v>
      </c>
      <c r="B201" s="149">
        <f t="shared" ref="B201:U201" si="75">B170-B187</f>
        <v>17.8000503</v>
      </c>
      <c r="C201" s="149">
        <f t="shared" si="75"/>
        <v>0</v>
      </c>
      <c r="D201" s="149">
        <f t="shared" si="75"/>
        <v>147.85448</v>
      </c>
      <c r="E201" s="149">
        <f t="shared" si="75"/>
        <v>466.0056822</v>
      </c>
      <c r="F201" s="149">
        <f t="shared" si="75"/>
        <v>31.43133029</v>
      </c>
      <c r="G201" s="149">
        <f t="shared" si="75"/>
        <v>0</v>
      </c>
      <c r="H201" s="149">
        <f t="shared" si="75"/>
        <v>11.26716616</v>
      </c>
      <c r="I201" s="149">
        <f t="shared" si="75"/>
        <v>68.4</v>
      </c>
      <c r="J201" s="149">
        <f t="shared" si="75"/>
        <v>33.3483321</v>
      </c>
      <c r="K201" s="149">
        <f t="shared" si="75"/>
        <v>0</v>
      </c>
      <c r="L201" s="149">
        <f t="shared" si="75"/>
        <v>102.2935962</v>
      </c>
      <c r="M201" s="149">
        <f t="shared" si="75"/>
        <v>55.47985543</v>
      </c>
      <c r="N201" s="149">
        <f t="shared" si="75"/>
        <v>53.6485279</v>
      </c>
      <c r="O201" s="149">
        <f t="shared" si="75"/>
        <v>88.39110926</v>
      </c>
      <c r="P201" s="149">
        <f t="shared" si="75"/>
        <v>116.0177603</v>
      </c>
      <c r="Q201" s="149">
        <f t="shared" si="75"/>
        <v>72.86252668</v>
      </c>
      <c r="R201" s="149">
        <f t="shared" si="75"/>
        <v>65.86606566</v>
      </c>
      <c r="S201" s="149">
        <f t="shared" si="75"/>
        <v>39.06826219</v>
      </c>
      <c r="T201" s="149">
        <f t="shared" si="75"/>
        <v>163.7326336</v>
      </c>
      <c r="U201" s="149">
        <f t="shared" si="75"/>
        <v>28.43634122</v>
      </c>
      <c r="V201" s="198"/>
      <c r="W201" s="198"/>
      <c r="X201" s="198"/>
      <c r="Y201" s="198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198"/>
      <c r="AK201" s="198"/>
      <c r="AL201" s="198"/>
      <c r="AM201" s="198"/>
      <c r="AN201" s="198"/>
      <c r="AO201" s="198"/>
      <c r="AP201" s="198"/>
      <c r="AQ201" s="198"/>
      <c r="AR201" s="198"/>
      <c r="AS201" s="198"/>
    </row>
    <row r="202" ht="15.75" customHeight="1">
      <c r="A202" s="381" t="s">
        <v>455</v>
      </c>
      <c r="B202" s="149">
        <f t="shared" ref="B202:U202" si="76">B171-B188</f>
        <v>20.11757479</v>
      </c>
      <c r="C202" s="149">
        <f t="shared" si="76"/>
        <v>0</v>
      </c>
      <c r="D202" s="149">
        <f t="shared" si="76"/>
        <v>250.8809191</v>
      </c>
      <c r="E202" s="149">
        <f t="shared" si="76"/>
        <v>824.2753906</v>
      </c>
      <c r="F202" s="149">
        <f t="shared" si="76"/>
        <v>50.66090479</v>
      </c>
      <c r="G202" s="149">
        <f t="shared" si="76"/>
        <v>0</v>
      </c>
      <c r="H202" s="149">
        <f t="shared" si="76"/>
        <v>38.75634895</v>
      </c>
      <c r="I202" s="149">
        <f t="shared" si="76"/>
        <v>69.6</v>
      </c>
      <c r="J202" s="149">
        <f t="shared" si="76"/>
        <v>36.45019718</v>
      </c>
      <c r="K202" s="149">
        <f t="shared" si="76"/>
        <v>0</v>
      </c>
      <c r="L202" s="149">
        <f t="shared" si="76"/>
        <v>111.631295</v>
      </c>
      <c r="M202" s="149">
        <f t="shared" si="76"/>
        <v>92.05281804</v>
      </c>
      <c r="N202" s="149">
        <f t="shared" si="76"/>
        <v>154.1632097</v>
      </c>
      <c r="O202" s="149">
        <f t="shared" si="76"/>
        <v>135.4489249</v>
      </c>
      <c r="P202" s="149">
        <f t="shared" si="76"/>
        <v>344.3411215</v>
      </c>
      <c r="Q202" s="149">
        <f t="shared" si="76"/>
        <v>152.8651023</v>
      </c>
      <c r="R202" s="149">
        <f t="shared" si="76"/>
        <v>106.5201786</v>
      </c>
      <c r="S202" s="149">
        <f t="shared" si="76"/>
        <v>131.9638851</v>
      </c>
      <c r="T202" s="149">
        <f t="shared" si="76"/>
        <v>278.5739348</v>
      </c>
      <c r="U202" s="149">
        <f t="shared" si="76"/>
        <v>219.8543603</v>
      </c>
      <c r="V202" s="198"/>
      <c r="W202" s="198"/>
      <c r="X202" s="198"/>
      <c r="Y202" s="198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198"/>
      <c r="AM202" s="198"/>
      <c r="AN202" s="198"/>
      <c r="AO202" s="198"/>
      <c r="AP202" s="198"/>
      <c r="AQ202" s="198"/>
      <c r="AR202" s="198"/>
      <c r="AS202" s="198"/>
    </row>
    <row r="203" ht="15.75" customHeight="1">
      <c r="A203" s="381" t="s">
        <v>456</v>
      </c>
      <c r="B203" s="149">
        <f t="shared" ref="B203:U203" si="77">B172-B189</f>
        <v>20.55114321</v>
      </c>
      <c r="C203" s="149">
        <f t="shared" si="77"/>
        <v>0</v>
      </c>
      <c r="D203" s="149">
        <f t="shared" si="77"/>
        <v>1005.436893</v>
      </c>
      <c r="E203" s="149">
        <f t="shared" si="77"/>
        <v>2252.20323</v>
      </c>
      <c r="F203" s="149">
        <f t="shared" si="77"/>
        <v>118.2919649</v>
      </c>
      <c r="G203" s="149">
        <f t="shared" si="77"/>
        <v>0</v>
      </c>
      <c r="H203" s="149">
        <f t="shared" si="77"/>
        <v>74.78416183</v>
      </c>
      <c r="I203" s="149">
        <f t="shared" si="77"/>
        <v>165.9</v>
      </c>
      <c r="J203" s="149">
        <f t="shared" si="77"/>
        <v>37.23576178</v>
      </c>
      <c r="K203" s="149">
        <f t="shared" si="77"/>
        <v>0</v>
      </c>
      <c r="L203" s="149">
        <f t="shared" si="77"/>
        <v>139.378729</v>
      </c>
      <c r="M203" s="149">
        <f t="shared" si="77"/>
        <v>250.7645733</v>
      </c>
      <c r="N203" s="149">
        <f t="shared" si="77"/>
        <v>227.4793338</v>
      </c>
      <c r="O203" s="149">
        <f t="shared" si="77"/>
        <v>263.2001573</v>
      </c>
      <c r="P203" s="149">
        <f t="shared" si="77"/>
        <v>658.7547897</v>
      </c>
      <c r="Q203" s="149">
        <f t="shared" si="77"/>
        <v>246.0696866</v>
      </c>
      <c r="R203" s="149">
        <f t="shared" si="77"/>
        <v>217.6317442</v>
      </c>
      <c r="S203" s="149">
        <f t="shared" si="77"/>
        <v>292.0838577</v>
      </c>
      <c r="T203" s="149">
        <f t="shared" si="77"/>
        <v>640.2997876</v>
      </c>
      <c r="U203" s="149">
        <f t="shared" si="77"/>
        <v>481.2698589</v>
      </c>
      <c r="V203" s="198"/>
      <c r="W203" s="198"/>
      <c r="X203" s="198"/>
      <c r="Y203" s="198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  <c r="AL203" s="198"/>
      <c r="AM203" s="198"/>
      <c r="AN203" s="198"/>
      <c r="AO203" s="198"/>
      <c r="AP203" s="198"/>
      <c r="AQ203" s="198"/>
      <c r="AR203" s="198"/>
      <c r="AS203" s="198"/>
    </row>
    <row r="204" ht="15.75" customHeight="1">
      <c r="A204" s="381" t="s">
        <v>457</v>
      </c>
      <c r="B204" s="149">
        <f t="shared" ref="B204:U204" si="78">B173</f>
        <v>36.03556317</v>
      </c>
      <c r="C204" s="149">
        <f t="shared" si="78"/>
        <v>0</v>
      </c>
      <c r="D204" s="149">
        <f t="shared" si="78"/>
        <v>1870.347731</v>
      </c>
      <c r="E204" s="149">
        <f t="shared" si="78"/>
        <v>3783.781544</v>
      </c>
      <c r="F204" s="149">
        <f t="shared" si="78"/>
        <v>117.3446589</v>
      </c>
      <c r="G204" s="149">
        <f t="shared" si="78"/>
        <v>0</v>
      </c>
      <c r="H204" s="149">
        <f t="shared" si="78"/>
        <v>91.28889779</v>
      </c>
      <c r="I204" s="149">
        <f t="shared" si="78"/>
        <v>157.6</v>
      </c>
      <c r="J204" s="149">
        <f t="shared" si="78"/>
        <v>96.32337129</v>
      </c>
      <c r="K204" s="149">
        <f t="shared" si="78"/>
        <v>0</v>
      </c>
      <c r="L204" s="149">
        <f t="shared" si="78"/>
        <v>502.2595607</v>
      </c>
      <c r="M204" s="149">
        <f t="shared" si="78"/>
        <v>304.6115771</v>
      </c>
      <c r="N204" s="149">
        <f t="shared" si="78"/>
        <v>338.9830639</v>
      </c>
      <c r="O204" s="149">
        <f t="shared" si="78"/>
        <v>195.2379089</v>
      </c>
      <c r="P204" s="149">
        <f t="shared" si="78"/>
        <v>786.1874092</v>
      </c>
      <c r="Q204" s="149">
        <f t="shared" si="78"/>
        <v>365.4266803</v>
      </c>
      <c r="R204" s="149">
        <f t="shared" si="78"/>
        <v>190.6757624</v>
      </c>
      <c r="S204" s="149">
        <f t="shared" si="78"/>
        <v>344.5673324</v>
      </c>
      <c r="T204" s="149">
        <f t="shared" si="78"/>
        <v>993.9559569</v>
      </c>
      <c r="U204" s="149">
        <f t="shared" si="78"/>
        <v>640.9157919</v>
      </c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8"/>
    </row>
    <row r="205" ht="15.75" customHeight="1">
      <c r="A205" s="381" t="s">
        <v>458</v>
      </c>
      <c r="B205" s="149">
        <f t="shared" ref="B205:U205" si="79">B174</f>
        <v>46.51116132</v>
      </c>
      <c r="C205" s="149">
        <f t="shared" si="79"/>
        <v>0</v>
      </c>
      <c r="D205" s="149">
        <f t="shared" si="79"/>
        <v>2824.333448</v>
      </c>
      <c r="E205" s="149">
        <f t="shared" si="79"/>
        <v>4868.696847</v>
      </c>
      <c r="F205" s="149">
        <f t="shared" si="79"/>
        <v>152.6958225</v>
      </c>
      <c r="G205" s="149">
        <f t="shared" si="79"/>
        <v>0</v>
      </c>
      <c r="H205" s="149">
        <f t="shared" si="79"/>
        <v>56.05677639</v>
      </c>
      <c r="I205" s="149">
        <f t="shared" si="79"/>
        <v>219.8</v>
      </c>
      <c r="J205" s="149">
        <f t="shared" si="79"/>
        <v>125.4248204</v>
      </c>
      <c r="K205" s="149">
        <f t="shared" si="79"/>
        <v>0</v>
      </c>
      <c r="L205" s="149">
        <f t="shared" si="79"/>
        <v>422.7770093</v>
      </c>
      <c r="M205" s="149">
        <f t="shared" si="79"/>
        <v>274.5836322</v>
      </c>
      <c r="N205" s="149">
        <f t="shared" si="79"/>
        <v>352.3121957</v>
      </c>
      <c r="O205" s="149">
        <f t="shared" si="79"/>
        <v>201.7007617</v>
      </c>
      <c r="P205" s="149">
        <f t="shared" si="79"/>
        <v>782.1696456</v>
      </c>
      <c r="Q205" s="149">
        <f t="shared" si="79"/>
        <v>386.49135</v>
      </c>
      <c r="R205" s="149">
        <f t="shared" si="79"/>
        <v>152.0308794</v>
      </c>
      <c r="S205" s="149">
        <f t="shared" si="79"/>
        <v>259.9222222</v>
      </c>
      <c r="T205" s="149">
        <f t="shared" si="79"/>
        <v>1234.46638</v>
      </c>
      <c r="U205" s="149">
        <f t="shared" si="79"/>
        <v>1045.338862</v>
      </c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198"/>
    </row>
    <row r="206" ht="15.75" customHeight="1">
      <c r="A206" s="381" t="s">
        <v>459</v>
      </c>
      <c r="B206" s="149">
        <f t="shared" ref="B206:U206" si="80">B175</f>
        <v>98.68610841</v>
      </c>
      <c r="C206" s="149">
        <f t="shared" si="80"/>
        <v>0</v>
      </c>
      <c r="D206" s="149">
        <f t="shared" si="80"/>
        <v>7381.315405</v>
      </c>
      <c r="E206" s="149">
        <f t="shared" si="80"/>
        <v>17009.82386</v>
      </c>
      <c r="F206" s="149">
        <f t="shared" si="80"/>
        <v>207.4548783</v>
      </c>
      <c r="G206" s="149">
        <f t="shared" si="80"/>
        <v>0</v>
      </c>
      <c r="H206" s="149">
        <f t="shared" si="80"/>
        <v>71.48601493</v>
      </c>
      <c r="I206" s="149">
        <f t="shared" si="80"/>
        <v>115.5</v>
      </c>
      <c r="J206" s="149">
        <f t="shared" si="80"/>
        <v>240.9572638</v>
      </c>
      <c r="K206" s="149">
        <f t="shared" si="80"/>
        <v>3.160340409</v>
      </c>
      <c r="L206" s="149">
        <f t="shared" si="80"/>
        <v>984.8172969</v>
      </c>
      <c r="M206" s="149">
        <f t="shared" si="80"/>
        <v>330.8796331</v>
      </c>
      <c r="N206" s="149">
        <f t="shared" si="80"/>
        <v>500.1908095</v>
      </c>
      <c r="O206" s="149">
        <f t="shared" si="80"/>
        <v>241.7864529</v>
      </c>
      <c r="P206" s="149">
        <f t="shared" si="80"/>
        <v>869.0777422</v>
      </c>
      <c r="Q206" s="149">
        <f t="shared" si="80"/>
        <v>517.8786529</v>
      </c>
      <c r="R206" s="149">
        <f t="shared" si="80"/>
        <v>122.6733046</v>
      </c>
      <c r="S206" s="149">
        <f t="shared" si="80"/>
        <v>454.5332318</v>
      </c>
      <c r="T206" s="149">
        <f t="shared" si="80"/>
        <v>3778.657785</v>
      </c>
      <c r="U206" s="149">
        <f t="shared" si="80"/>
        <v>3451.481613</v>
      </c>
      <c r="V206" s="198"/>
      <c r="W206" s="198"/>
      <c r="X206" s="198"/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8"/>
    </row>
    <row r="207" ht="15.75" customHeight="1">
      <c r="A207" s="13" t="s">
        <v>68</v>
      </c>
      <c r="B207" s="508">
        <f t="shared" ref="B207:U207" si="81">SUM(B194:B206)</f>
        <v>260.342619</v>
      </c>
      <c r="C207" s="508">
        <f t="shared" si="81"/>
        <v>0</v>
      </c>
      <c r="D207" s="508">
        <f t="shared" si="81"/>
        <v>13584.69883</v>
      </c>
      <c r="E207" s="508">
        <f t="shared" si="81"/>
        <v>29617.58288</v>
      </c>
      <c r="F207" s="508">
        <f t="shared" si="81"/>
        <v>717.4472415</v>
      </c>
      <c r="G207" s="508">
        <f t="shared" si="81"/>
        <v>0</v>
      </c>
      <c r="H207" s="508">
        <f t="shared" si="81"/>
        <v>389.1920914</v>
      </c>
      <c r="I207" s="508">
        <f t="shared" si="81"/>
        <v>998.7</v>
      </c>
      <c r="J207" s="508">
        <f t="shared" si="81"/>
        <v>650.4272971</v>
      </c>
      <c r="K207" s="508">
        <f t="shared" si="81"/>
        <v>3.160340409</v>
      </c>
      <c r="L207" s="508">
        <f t="shared" si="81"/>
        <v>2442.47884</v>
      </c>
      <c r="M207" s="508">
        <f t="shared" si="81"/>
        <v>1357.672044</v>
      </c>
      <c r="N207" s="508">
        <f t="shared" si="81"/>
        <v>1694.774671</v>
      </c>
      <c r="O207" s="508">
        <f t="shared" si="81"/>
        <v>1266.818561</v>
      </c>
      <c r="P207" s="508">
        <f t="shared" si="81"/>
        <v>3656.122448</v>
      </c>
      <c r="Q207" s="508">
        <f t="shared" si="81"/>
        <v>1843.352945</v>
      </c>
      <c r="R207" s="508">
        <f t="shared" si="81"/>
        <v>900.3665438</v>
      </c>
      <c r="S207" s="508">
        <f t="shared" si="81"/>
        <v>1582.256515</v>
      </c>
      <c r="T207" s="508">
        <f t="shared" si="81"/>
        <v>7254.105447</v>
      </c>
      <c r="U207" s="508">
        <f t="shared" si="81"/>
        <v>5934.627859</v>
      </c>
      <c r="V207" s="149">
        <f>SUM(B207:U207)</f>
        <v>74154.12717</v>
      </c>
      <c r="W207" s="198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8"/>
    </row>
    <row r="208" ht="15.75" customHeight="1">
      <c r="A208" s="506"/>
      <c r="B208" s="408"/>
      <c r="C208" s="408"/>
      <c r="D208" s="408"/>
      <c r="E208" s="408"/>
      <c r="F208" s="408"/>
      <c r="G208" s="408"/>
      <c r="H208" s="408"/>
      <c r="I208" s="408"/>
      <c r="J208" s="408"/>
      <c r="K208" s="408"/>
      <c r="L208" s="408"/>
      <c r="M208" s="408"/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  <c r="AA208" s="408"/>
      <c r="AB208" s="408"/>
      <c r="AC208" s="408"/>
      <c r="AD208" s="408"/>
      <c r="AE208" s="408"/>
      <c r="AF208" s="408"/>
      <c r="AG208" s="408"/>
      <c r="AH208" s="408"/>
      <c r="AI208" s="408"/>
      <c r="AJ208" s="408"/>
      <c r="AK208" s="408"/>
      <c r="AL208" s="408"/>
      <c r="AM208" s="408"/>
      <c r="AN208" s="408"/>
      <c r="AO208" s="408"/>
      <c r="AP208" s="408"/>
      <c r="AQ208" s="408"/>
      <c r="AR208" s="408"/>
      <c r="AS208" s="408"/>
    </row>
    <row r="209" ht="15.75" customHeight="1">
      <c r="A209" s="506"/>
      <c r="B209" s="408"/>
      <c r="C209" s="408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08"/>
      <c r="AD209" s="408"/>
      <c r="AE209" s="408"/>
      <c r="AF209" s="408"/>
      <c r="AG209" s="408"/>
      <c r="AH209" s="408"/>
      <c r="AI209" s="408"/>
      <c r="AJ209" s="408"/>
      <c r="AK209" s="408"/>
      <c r="AL209" s="408"/>
      <c r="AM209" s="408"/>
      <c r="AN209" s="408"/>
      <c r="AO209" s="408"/>
      <c r="AP209" s="408"/>
      <c r="AQ209" s="408"/>
      <c r="AR209" s="408"/>
      <c r="AS209" s="408"/>
    </row>
    <row r="210" ht="15.75" customHeight="1">
      <c r="A210" s="506"/>
      <c r="B210" s="408"/>
      <c r="C210" s="408"/>
      <c r="D210" s="408"/>
      <c r="E210" s="408"/>
      <c r="F210" s="408"/>
      <c r="G210" s="408"/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08"/>
      <c r="AD210" s="408"/>
      <c r="AE210" s="408"/>
      <c r="AF210" s="408"/>
      <c r="AG210" s="408"/>
      <c r="AH210" s="408"/>
      <c r="AI210" s="408"/>
      <c r="AJ210" s="408"/>
      <c r="AK210" s="408"/>
      <c r="AL210" s="408"/>
      <c r="AM210" s="408"/>
      <c r="AN210" s="408"/>
      <c r="AO210" s="408"/>
      <c r="AP210" s="408"/>
      <c r="AQ210" s="408"/>
      <c r="AR210" s="408"/>
      <c r="AS210" s="408"/>
    </row>
    <row r="211" ht="15.75" customHeight="1">
      <c r="A211" s="506"/>
      <c r="B211" s="408"/>
      <c r="C211" s="408"/>
      <c r="D211" s="408"/>
      <c r="E211" s="408"/>
      <c r="F211" s="408"/>
      <c r="G211" s="408"/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08"/>
      <c r="AD211" s="408"/>
      <c r="AE211" s="408"/>
      <c r="AF211" s="408"/>
      <c r="AG211" s="408"/>
      <c r="AH211" s="408"/>
      <c r="AI211" s="408"/>
      <c r="AJ211" s="408"/>
      <c r="AK211" s="408"/>
      <c r="AL211" s="408"/>
      <c r="AM211" s="408"/>
      <c r="AN211" s="408"/>
      <c r="AO211" s="408"/>
      <c r="AP211" s="408"/>
      <c r="AQ211" s="408"/>
      <c r="AR211" s="408"/>
      <c r="AS211" s="408"/>
    </row>
    <row r="212" ht="15.75" customHeight="1">
      <c r="A212" s="506"/>
      <c r="B212" s="408"/>
      <c r="C212" s="408"/>
      <c r="D212" s="408"/>
      <c r="E212" s="408"/>
      <c r="F212" s="408"/>
      <c r="G212" s="408"/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08"/>
      <c r="AD212" s="408"/>
      <c r="AE212" s="408"/>
      <c r="AF212" s="408"/>
      <c r="AG212" s="408"/>
      <c r="AH212" s="408"/>
      <c r="AI212" s="408"/>
      <c r="AJ212" s="408"/>
      <c r="AK212" s="408"/>
      <c r="AL212" s="408"/>
      <c r="AM212" s="408"/>
      <c r="AN212" s="408"/>
      <c r="AO212" s="408"/>
      <c r="AP212" s="408"/>
      <c r="AQ212" s="408"/>
      <c r="AR212" s="408"/>
      <c r="AS212" s="408"/>
    </row>
    <row r="213" ht="15.75" customHeight="1">
      <c r="A213" s="506" t="s">
        <v>467</v>
      </c>
      <c r="B213" s="408"/>
      <c r="C213" s="408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08"/>
      <c r="AD213" s="408"/>
      <c r="AE213" s="408"/>
      <c r="AF213" s="408"/>
      <c r="AG213" s="408"/>
      <c r="AH213" s="408"/>
      <c r="AI213" s="408"/>
      <c r="AJ213" s="408"/>
      <c r="AK213" s="408"/>
      <c r="AL213" s="408"/>
      <c r="AM213" s="408"/>
      <c r="AN213" s="408"/>
      <c r="AO213" s="408"/>
      <c r="AP213" s="408"/>
      <c r="AQ213" s="408"/>
      <c r="AR213" s="408"/>
      <c r="AS213" s="408"/>
    </row>
    <row r="214" ht="15.75" customHeight="1">
      <c r="A214" s="509" t="s">
        <v>468</v>
      </c>
      <c r="B214" s="509" t="s">
        <v>288</v>
      </c>
      <c r="C214" s="509" t="s">
        <v>405</v>
      </c>
      <c r="D214" s="509" t="s">
        <v>469</v>
      </c>
      <c r="E214" s="509" t="s">
        <v>294</v>
      </c>
      <c r="F214" s="509" t="s">
        <v>296</v>
      </c>
      <c r="G214" s="509" t="s">
        <v>298</v>
      </c>
      <c r="H214" s="509" t="s">
        <v>300</v>
      </c>
      <c r="I214" s="509" t="s">
        <v>89</v>
      </c>
      <c r="J214" s="509" t="s">
        <v>303</v>
      </c>
      <c r="K214" s="509" t="s">
        <v>470</v>
      </c>
      <c r="L214" s="509" t="s">
        <v>307</v>
      </c>
      <c r="M214" s="509" t="s">
        <v>406</v>
      </c>
      <c r="N214" s="509" t="s">
        <v>311</v>
      </c>
      <c r="O214" s="509" t="s">
        <v>313</v>
      </c>
      <c r="P214" s="509" t="s">
        <v>315</v>
      </c>
      <c r="Q214" s="509" t="s">
        <v>407</v>
      </c>
      <c r="R214" s="509" t="s">
        <v>319</v>
      </c>
      <c r="S214" s="509" t="s">
        <v>321</v>
      </c>
      <c r="T214" s="509" t="s">
        <v>323</v>
      </c>
      <c r="U214" s="509" t="s">
        <v>408</v>
      </c>
      <c r="V214" s="408"/>
      <c r="W214" s="408"/>
      <c r="X214" s="408"/>
      <c r="Y214" s="408"/>
      <c r="Z214" s="408"/>
      <c r="AA214" s="408"/>
      <c r="AB214" s="408"/>
      <c r="AC214" s="408"/>
      <c r="AD214" s="408"/>
      <c r="AE214" s="408"/>
      <c r="AF214" s="408"/>
      <c r="AG214" s="408"/>
      <c r="AH214" s="408"/>
      <c r="AI214" s="408"/>
      <c r="AJ214" s="408"/>
      <c r="AK214" s="408"/>
      <c r="AL214" s="408"/>
      <c r="AM214" s="408"/>
      <c r="AN214" s="408"/>
      <c r="AO214" s="408"/>
      <c r="AP214" s="408"/>
      <c r="AQ214" s="408"/>
      <c r="AR214" s="408"/>
      <c r="AS214" s="408"/>
    </row>
    <row r="215" ht="15.75" customHeight="1">
      <c r="A215" s="510" t="s">
        <v>447</v>
      </c>
      <c r="B215" s="385">
        <f>B4*'Pomocná data V. PAF'!C33</f>
        <v>0</v>
      </c>
      <c r="C215" s="385">
        <f>C4*'Pomocná data V. PAF'!D33</f>
        <v>0</v>
      </c>
      <c r="D215" s="385">
        <f>D4*'Pomocná data V. PAF'!E33</f>
        <v>0</v>
      </c>
      <c r="E215" s="385">
        <f>E4*'Pomocná data V. PAF'!F33</f>
        <v>0</v>
      </c>
      <c r="F215" s="385">
        <f>F4*'Pomocná data V. PAF'!G33</f>
        <v>0</v>
      </c>
      <c r="G215" s="385">
        <f>G4*'Pomocná data V. PAF'!H33</f>
        <v>0</v>
      </c>
      <c r="H215" s="385">
        <f>H4*'Pomocná data V. PAF'!I33</f>
        <v>0</v>
      </c>
      <c r="I215" s="385">
        <f>I4*'Pomocná data V. PAF'!J33</f>
        <v>0</v>
      </c>
      <c r="J215" s="385">
        <f>J4*'Pomocná data V. PAF'!K33</f>
        <v>0</v>
      </c>
      <c r="K215" s="385">
        <f>K4*'Pomocná data V. PAF'!L33</f>
        <v>0</v>
      </c>
      <c r="L215" s="385">
        <f>L4*'Pomocná data V. PAF'!M33</f>
        <v>0</v>
      </c>
      <c r="M215" s="385">
        <f>M4*'Pomocná data V. PAF'!N33</f>
        <v>0</v>
      </c>
      <c r="N215" s="385">
        <f>N4*'Pomocná data V. PAF'!O33</f>
        <v>0</v>
      </c>
      <c r="O215" s="385">
        <f>O4*'Pomocná data V. PAF'!P33</f>
        <v>0</v>
      </c>
      <c r="P215" s="385">
        <f>P4*'Pomocná data V. PAF'!Q33</f>
        <v>0</v>
      </c>
      <c r="Q215" s="385">
        <f>Q4*'Pomocná data V. PAF'!R33</f>
        <v>0</v>
      </c>
      <c r="R215" s="385">
        <f>R4*'Pomocná data V. PAF'!S33</f>
        <v>0</v>
      </c>
      <c r="S215" s="385">
        <f>S4*'Pomocná data V. PAF'!T33</f>
        <v>0</v>
      </c>
      <c r="T215" s="385">
        <f>T4*'Pomocná data V. PAF'!U33</f>
        <v>0.06411962734</v>
      </c>
      <c r="U215" s="385">
        <f>U4*'Pomocná data V. PAF'!V33</f>
        <v>0</v>
      </c>
      <c r="V215" s="385">
        <f t="shared" ref="V215:V224" si="82">SUM(B215:U215)</f>
        <v>0.06411962734</v>
      </c>
      <c r="W215" s="408"/>
      <c r="X215" s="408"/>
      <c r="Y215" s="408"/>
      <c r="Z215" s="408"/>
      <c r="AA215" s="408"/>
      <c r="AB215" s="408"/>
      <c r="AC215" s="408"/>
      <c r="AD215" s="408"/>
      <c r="AE215" s="408"/>
      <c r="AF215" s="408"/>
      <c r="AG215" s="408"/>
      <c r="AH215" s="408"/>
      <c r="AI215" s="408"/>
      <c r="AJ215" s="408"/>
      <c r="AK215" s="408"/>
      <c r="AL215" s="408"/>
      <c r="AM215" s="408"/>
      <c r="AN215" s="408"/>
      <c r="AO215" s="408"/>
      <c r="AP215" s="408"/>
      <c r="AQ215" s="408"/>
      <c r="AR215" s="408"/>
      <c r="AS215" s="408"/>
    </row>
    <row r="216" ht="15.75" customHeight="1">
      <c r="A216" s="510" t="s">
        <v>448</v>
      </c>
      <c r="B216" s="385">
        <f>B5*'Pomocná data V. PAF'!C34</f>
        <v>0</v>
      </c>
      <c r="C216" s="385">
        <f>C5*'Pomocná data V. PAF'!D34</f>
        <v>0</v>
      </c>
      <c r="D216" s="385">
        <f>D5*'Pomocná data V. PAF'!E34</f>
        <v>0</v>
      </c>
      <c r="E216" s="385">
        <f>E5*'Pomocná data V. PAF'!F34</f>
        <v>0</v>
      </c>
      <c r="F216" s="385">
        <f>F5*'Pomocná data V. PAF'!G34</f>
        <v>0.05250471599</v>
      </c>
      <c r="G216" s="385">
        <f>G5*'Pomocná data V. PAF'!H34</f>
        <v>0</v>
      </c>
      <c r="H216" s="385">
        <f>H5*'Pomocná data V. PAF'!I34</f>
        <v>0.07965721665</v>
      </c>
      <c r="I216" s="385">
        <f>I5*'Pomocná data V. PAF'!J34</f>
        <v>0</v>
      </c>
      <c r="J216" s="385">
        <f>J5*'Pomocná data V. PAF'!K34</f>
        <v>0</v>
      </c>
      <c r="K216" s="385">
        <f>K5*'Pomocná data V. PAF'!L34</f>
        <v>0</v>
      </c>
      <c r="L216" s="385">
        <f>L5*'Pomocná data V. PAF'!M34</f>
        <v>0.3677822395</v>
      </c>
      <c r="M216" s="385">
        <f>M5*'Pomocná data V. PAF'!N34</f>
        <v>0</v>
      </c>
      <c r="N216" s="385">
        <f>N5*'Pomocná data V. PAF'!O34</f>
        <v>0</v>
      </c>
      <c r="O216" s="385">
        <f>O5*'Pomocná data V. PAF'!P34</f>
        <v>0</v>
      </c>
      <c r="P216" s="385">
        <f>P5*'Pomocná data V. PAF'!Q34</f>
        <v>0</v>
      </c>
      <c r="Q216" s="385">
        <f>Q5*'Pomocná data V. PAF'!R34</f>
        <v>0</v>
      </c>
      <c r="R216" s="385">
        <f>R5*'Pomocná data V. PAF'!S34</f>
        <v>0</v>
      </c>
      <c r="S216" s="385">
        <f>S5*'Pomocná data V. PAF'!T34</f>
        <v>0</v>
      </c>
      <c r="T216" s="385">
        <f>T5*'Pomocná data V. PAF'!U34</f>
        <v>0.1248394702</v>
      </c>
      <c r="U216" s="385">
        <f>U5*'Pomocná data V. PAF'!V34</f>
        <v>0</v>
      </c>
      <c r="V216" s="385">
        <f t="shared" si="82"/>
        <v>0.6247836424</v>
      </c>
      <c r="W216" s="408"/>
      <c r="X216" s="408"/>
      <c r="Y216" s="408"/>
      <c r="Z216" s="408"/>
      <c r="AA216" s="408"/>
      <c r="AB216" s="408"/>
      <c r="AC216" s="408"/>
      <c r="AD216" s="408"/>
      <c r="AE216" s="408"/>
      <c r="AF216" s="408"/>
      <c r="AG216" s="408"/>
      <c r="AH216" s="408"/>
      <c r="AI216" s="408"/>
      <c r="AJ216" s="408"/>
      <c r="AK216" s="408"/>
      <c r="AL216" s="408"/>
      <c r="AM216" s="408"/>
      <c r="AN216" s="408"/>
      <c r="AO216" s="408"/>
      <c r="AP216" s="408"/>
      <c r="AQ216" s="408"/>
      <c r="AR216" s="408"/>
      <c r="AS216" s="408"/>
    </row>
    <row r="217" ht="15.75" customHeight="1">
      <c r="A217" s="510" t="s">
        <v>449</v>
      </c>
      <c r="B217" s="385">
        <f>B6*'Pomocná data V. PAF'!C35</f>
        <v>0.183272946</v>
      </c>
      <c r="C217" s="385">
        <f>C6*'Pomocná data V. PAF'!D35</f>
        <v>0</v>
      </c>
      <c r="D217" s="385">
        <f>D6*'Pomocná data V. PAF'!E35</f>
        <v>0</v>
      </c>
      <c r="E217" s="385">
        <f>E6*'Pomocná data V. PAF'!F35</f>
        <v>0</v>
      </c>
      <c r="F217" s="385">
        <f>F6*'Pomocná data V. PAF'!G35</f>
        <v>0.07799905193</v>
      </c>
      <c r="G217" s="385">
        <f>G6*'Pomocná data V. PAF'!H35</f>
        <v>0</v>
      </c>
      <c r="H217" s="385">
        <f>H6*'Pomocná data V. PAF'!I35</f>
        <v>0</v>
      </c>
      <c r="I217" s="385">
        <f>I6*'Pomocná data V. PAF'!J35</f>
        <v>0</v>
      </c>
      <c r="J217" s="385">
        <f>J6*'Pomocná data V. PAF'!K35</f>
        <v>0</v>
      </c>
      <c r="K217" s="385">
        <f>K6*'Pomocná data V. PAF'!L35</f>
        <v>0</v>
      </c>
      <c r="L217" s="385">
        <f>L6*'Pomocná data V. PAF'!M35</f>
        <v>0.5193876474</v>
      </c>
      <c r="M217" s="385">
        <f>M6*'Pomocná data V. PAF'!N35</f>
        <v>0</v>
      </c>
      <c r="N217" s="385">
        <f>N6*'Pomocná data V. PAF'!O35</f>
        <v>0.3610256146</v>
      </c>
      <c r="O217" s="385">
        <f>O6*'Pomocná data V. PAF'!P35</f>
        <v>0.03218394851</v>
      </c>
      <c r="P217" s="385">
        <f>P6*'Pomocná data V. PAF'!Q35</f>
        <v>0</v>
      </c>
      <c r="Q217" s="385">
        <f>Q6*'Pomocná data V. PAF'!R35</f>
        <v>0</v>
      </c>
      <c r="R217" s="385">
        <f>R6*'Pomocná data V. PAF'!S35</f>
        <v>0.06847170076</v>
      </c>
      <c r="S217" s="385">
        <f>S6*'Pomocná data V. PAF'!T35</f>
        <v>0</v>
      </c>
      <c r="T217" s="385">
        <f>T6*'Pomocná data V. PAF'!U35</f>
        <v>0.183272946</v>
      </c>
      <c r="U217" s="385">
        <f>U6*'Pomocná data V. PAF'!V35</f>
        <v>0</v>
      </c>
      <c r="V217" s="385">
        <f t="shared" si="82"/>
        <v>1.425613855</v>
      </c>
      <c r="W217" s="408"/>
      <c r="X217" s="408"/>
      <c r="Y217" s="408"/>
      <c r="Z217" s="408"/>
      <c r="AA217" s="408"/>
      <c r="AB217" s="408"/>
      <c r="AC217" s="408"/>
      <c r="AD217" s="408"/>
      <c r="AE217" s="408"/>
      <c r="AF217" s="408"/>
      <c r="AG217" s="408"/>
      <c r="AH217" s="408"/>
      <c r="AI217" s="408"/>
      <c r="AJ217" s="408"/>
      <c r="AK217" s="408"/>
      <c r="AL217" s="408"/>
      <c r="AM217" s="408"/>
      <c r="AN217" s="408"/>
      <c r="AO217" s="408"/>
      <c r="AP217" s="408"/>
      <c r="AQ217" s="408"/>
      <c r="AR217" s="408"/>
      <c r="AS217" s="408"/>
    </row>
    <row r="218" ht="15.75" customHeight="1">
      <c r="A218" s="510" t="s">
        <v>450</v>
      </c>
      <c r="B218" s="385">
        <f>B7*'Pomocná data V. PAF'!C36</f>
        <v>0</v>
      </c>
      <c r="C218" s="385">
        <f>C7*'Pomocná data V. PAF'!D36</f>
        <v>0</v>
      </c>
      <c r="D218" s="385">
        <f>D7*'Pomocná data V. PAF'!E36</f>
        <v>0</v>
      </c>
      <c r="E218" s="385">
        <f>E7*'Pomocná data V. PAF'!F36</f>
        <v>0.6254128043</v>
      </c>
      <c r="F218" s="385">
        <f>F7*'Pomocná data V. PAF'!G36</f>
        <v>0</v>
      </c>
      <c r="G218" s="385">
        <f>G7*'Pomocná data V. PAF'!H36</f>
        <v>0</v>
      </c>
      <c r="H218" s="385">
        <f>H7*'Pomocná data V. PAF'!I36</f>
        <v>0.1736901553</v>
      </c>
      <c r="I218" s="385">
        <f>I7*'Pomocná data V. PAF'!J36</f>
        <v>0</v>
      </c>
      <c r="J218" s="385">
        <f>J7*'Pomocná data V. PAF'!K36</f>
        <v>0.4261112959</v>
      </c>
      <c r="K218" s="385">
        <f>K7*'Pomocná data V. PAF'!L36</f>
        <v>0</v>
      </c>
      <c r="L218" s="385">
        <f>L7*'Pomocná data V. PAF'!M36</f>
        <v>0</v>
      </c>
      <c r="M218" s="385">
        <f>M7*'Pomocná data V. PAF'!N36</f>
        <v>0</v>
      </c>
      <c r="N218" s="385">
        <f>N7*'Pomocná data V. PAF'!O36</f>
        <v>0</v>
      </c>
      <c r="O218" s="385">
        <f>O7*'Pomocná data V. PAF'!P36</f>
        <v>0.1283420345</v>
      </c>
      <c r="P218" s="385">
        <f>P7*'Pomocná data V. PAF'!Q36</f>
        <v>0</v>
      </c>
      <c r="Q218" s="385">
        <f>Q7*'Pomocná data V. PAF'!R36</f>
        <v>0.2293432746</v>
      </c>
      <c r="R218" s="385">
        <f>R7*'Pomocná data V. PAF'!S36</f>
        <v>0.1017768951</v>
      </c>
      <c r="S218" s="385">
        <f>S7*'Pomocná data V. PAF'!T36</f>
        <v>0.2797569672</v>
      </c>
      <c r="T218" s="385">
        <f>T7*'Pomocná data V. PAF'!U36</f>
        <v>0.2673263249</v>
      </c>
      <c r="U218" s="385">
        <f>U7*'Pomocná data V. PAF'!V36</f>
        <v>0.4535124852</v>
      </c>
      <c r="V218" s="385">
        <f t="shared" si="82"/>
        <v>2.685272237</v>
      </c>
      <c r="W218" s="408"/>
      <c r="X218" s="408"/>
      <c r="Y218" s="408"/>
      <c r="Z218" s="408"/>
      <c r="AA218" s="408"/>
      <c r="AB218" s="408"/>
      <c r="AC218" s="408"/>
      <c r="AD218" s="408"/>
      <c r="AE218" s="408"/>
      <c r="AF218" s="408"/>
      <c r="AG218" s="408"/>
      <c r="AH218" s="408"/>
      <c r="AI218" s="408"/>
      <c r="AJ218" s="408"/>
      <c r="AK218" s="408"/>
      <c r="AL218" s="408"/>
      <c r="AM218" s="408"/>
      <c r="AN218" s="408"/>
      <c r="AO218" s="408"/>
      <c r="AP218" s="408"/>
      <c r="AQ218" s="408"/>
      <c r="AR218" s="408"/>
      <c r="AS218" s="408"/>
    </row>
    <row r="219" ht="15.75" customHeight="1">
      <c r="A219" s="510" t="s">
        <v>451</v>
      </c>
      <c r="B219" s="385">
        <f>B8*'Pomocná data V. PAF'!C37</f>
        <v>0.4077594401</v>
      </c>
      <c r="C219" s="385">
        <f>C8*'Pomocná data V. PAF'!D37</f>
        <v>0</v>
      </c>
      <c r="D219" s="385">
        <f>D8*'Pomocná data V. PAF'!E37</f>
        <v>2.091189078</v>
      </c>
      <c r="E219" s="385">
        <f>E8*'Pomocná data V. PAF'!F37</f>
        <v>2.082543028</v>
      </c>
      <c r="F219" s="385">
        <f>F8*'Pomocná data V. PAF'!G37</f>
        <v>0.1818637275</v>
      </c>
      <c r="G219" s="385">
        <f>G8*'Pomocná data V. PAF'!H37</f>
        <v>0</v>
      </c>
      <c r="H219" s="385">
        <f>H8*'Pomocná data V. PAF'!I37</f>
        <v>0.2697902289</v>
      </c>
      <c r="I219" s="385">
        <f>I8*'Pomocná data V. PAF'!J37</f>
        <v>3</v>
      </c>
      <c r="J219" s="385">
        <f>J8*'Pomocná data V. PAF'!K37</f>
        <v>0</v>
      </c>
      <c r="K219" s="385">
        <f>K8*'Pomocná data V. PAF'!L37</f>
        <v>0</v>
      </c>
      <c r="L219" s="385">
        <f>L8*'Pomocná data V. PAF'!M37</f>
        <v>1.008210599</v>
      </c>
      <c r="M219" s="385">
        <f>M8*'Pomocná data V. PAF'!N37</f>
        <v>0</v>
      </c>
      <c r="N219" s="385">
        <f>N8*'Pomocná data V. PAF'!O37</f>
        <v>0.7456039277</v>
      </c>
      <c r="O219" s="385">
        <f>O8*'Pomocná data V. PAF'!P37</f>
        <v>0.4853913241</v>
      </c>
      <c r="P219" s="385">
        <f>P8*'Pomocná data V. PAF'!Q37</f>
        <v>0.3238180196</v>
      </c>
      <c r="Q219" s="385">
        <f>Q8*'Pomocná data V. PAF'!R37</f>
        <v>0.7047921631</v>
      </c>
      <c r="R219" s="385">
        <f>R8*'Pomocná data V. PAF'!S37</f>
        <v>0.1603458068</v>
      </c>
      <c r="S219" s="385">
        <f>S8*'Pomocná data V. PAF'!T37</f>
        <v>0.4257029261</v>
      </c>
      <c r="T219" s="385">
        <f>T8*'Pomocná data V. PAF'!U37</f>
        <v>0.8155188802</v>
      </c>
      <c r="U219" s="385">
        <f>U8*'Pomocná data V. PAF'!V37</f>
        <v>0</v>
      </c>
      <c r="V219" s="385">
        <f t="shared" si="82"/>
        <v>12.70252915</v>
      </c>
      <c r="W219" s="408"/>
      <c r="X219" s="408"/>
      <c r="Y219" s="408"/>
      <c r="Z219" s="408"/>
      <c r="AA219" s="408"/>
      <c r="AB219" s="408"/>
      <c r="AC219" s="408"/>
      <c r="AD219" s="408"/>
      <c r="AE219" s="408"/>
      <c r="AF219" s="408"/>
      <c r="AG219" s="408"/>
      <c r="AH219" s="408"/>
      <c r="AI219" s="408"/>
      <c r="AJ219" s="408"/>
      <c r="AK219" s="408"/>
      <c r="AL219" s="408"/>
      <c r="AM219" s="408"/>
      <c r="AN219" s="408"/>
      <c r="AO219" s="408"/>
      <c r="AP219" s="408"/>
      <c r="AQ219" s="408"/>
      <c r="AR219" s="408"/>
      <c r="AS219" s="408"/>
    </row>
    <row r="220" ht="15.75" customHeight="1">
      <c r="A220" s="510" t="s">
        <v>452</v>
      </c>
      <c r="B220" s="385">
        <f>B9*'Pomocná data V. PAF'!C38</f>
        <v>0</v>
      </c>
      <c r="C220" s="385">
        <f>C9*'Pomocná data V. PAF'!D38</f>
        <v>0</v>
      </c>
      <c r="D220" s="385">
        <f>D9*'Pomocná data V. PAF'!E38</f>
        <v>0</v>
      </c>
      <c r="E220" s="385">
        <f>E9*'Pomocná data V. PAF'!F38</f>
        <v>3.143640727</v>
      </c>
      <c r="F220" s="385">
        <f>F9*'Pomocná data V. PAF'!G38</f>
        <v>0.1959122632</v>
      </c>
      <c r="G220" s="385">
        <f>G9*'Pomocná data V. PAF'!H38</f>
        <v>0</v>
      </c>
      <c r="H220" s="385">
        <f>H9*'Pomocná data V. PAF'!I38</f>
        <v>0.5798641955</v>
      </c>
      <c r="I220" s="385">
        <f>I9*'Pomocná data V. PAF'!J38</f>
        <v>3</v>
      </c>
      <c r="J220" s="385">
        <f>J9*'Pomocná data V. PAF'!K38</f>
        <v>0.6711690731</v>
      </c>
      <c r="K220" s="385">
        <f>K9*'Pomocná data V. PAF'!L38</f>
        <v>0</v>
      </c>
      <c r="L220" s="385">
        <f>L9*'Pomocná data V. PAF'!M38</f>
        <v>1.770060615</v>
      </c>
      <c r="M220" s="385">
        <f>M9*'Pomocná data V. PAF'!N38</f>
        <v>0.9793897757</v>
      </c>
      <c r="N220" s="385">
        <f>N9*'Pomocná data V. PAF'!O38</f>
        <v>0.7909773698</v>
      </c>
      <c r="O220" s="385">
        <f>O9*'Pomocná data V. PAF'!P38</f>
        <v>1.324797822</v>
      </c>
      <c r="P220" s="385">
        <f>P9*'Pomocná data V. PAF'!Q38</f>
        <v>0.8107869142</v>
      </c>
      <c r="Q220" s="385">
        <f>Q9*'Pomocná data V. PAF'!R38</f>
        <v>1.00760423</v>
      </c>
      <c r="R220" s="385">
        <f>R9*'Pomocná data V. PAF'!S38</f>
        <v>0.4608908714</v>
      </c>
      <c r="S220" s="385">
        <f>S9*'Pomocná data V. PAF'!T38</f>
        <v>0.4555426762</v>
      </c>
      <c r="T220" s="385">
        <f>T9*'Pomocná data V. PAF'!U38</f>
        <v>1.309664189</v>
      </c>
      <c r="U220" s="385">
        <f>U9*'Pomocná data V. PAF'!V38</f>
        <v>0.7099819343</v>
      </c>
      <c r="V220" s="385">
        <f t="shared" si="82"/>
        <v>17.21028266</v>
      </c>
      <c r="W220" s="408"/>
      <c r="X220" s="408"/>
      <c r="Y220" s="408"/>
      <c r="Z220" s="408"/>
      <c r="AA220" s="408"/>
      <c r="AB220" s="408"/>
      <c r="AC220" s="408"/>
      <c r="AD220" s="408"/>
      <c r="AE220" s="408"/>
      <c r="AF220" s="408"/>
      <c r="AG220" s="408"/>
      <c r="AH220" s="408"/>
      <c r="AI220" s="408"/>
      <c r="AJ220" s="408"/>
      <c r="AK220" s="408"/>
      <c r="AL220" s="408"/>
      <c r="AM220" s="408"/>
      <c r="AN220" s="408"/>
      <c r="AO220" s="408"/>
      <c r="AP220" s="408"/>
      <c r="AQ220" s="408"/>
      <c r="AR220" s="408"/>
      <c r="AS220" s="408"/>
    </row>
    <row r="221" ht="15.75" customHeight="1">
      <c r="A221" s="510" t="s">
        <v>453</v>
      </c>
      <c r="B221" s="385">
        <f>B10*'Pomocná data V. PAF'!C39</f>
        <v>0</v>
      </c>
      <c r="C221" s="385">
        <f>C10*'Pomocná data V. PAF'!D39</f>
        <v>0</v>
      </c>
      <c r="D221" s="385">
        <f>D10*'Pomocná data V. PAF'!E39</f>
        <v>2.17528305</v>
      </c>
      <c r="E221" s="385">
        <f>E10*'Pomocná data V. PAF'!F39</f>
        <v>10.78450974</v>
      </c>
      <c r="F221" s="385">
        <f>F10*'Pomocná data V. PAF'!G39</f>
        <v>0.4821472911</v>
      </c>
      <c r="G221" s="385">
        <f>G10*'Pomocná data V. PAF'!H39</f>
        <v>0</v>
      </c>
      <c r="H221" s="385">
        <f>H10*'Pomocná data V. PAF'!I39</f>
        <v>0.3052399609</v>
      </c>
      <c r="I221" s="385">
        <f>I10*'Pomocná data V. PAF'!J39</f>
        <v>3</v>
      </c>
      <c r="J221" s="385">
        <f>J10*'Pomocná data V. PAF'!K39</f>
        <v>0.7013960188</v>
      </c>
      <c r="K221" s="385">
        <f>K10*'Pomocná data V. PAF'!L39</f>
        <v>0</v>
      </c>
      <c r="L221" s="385">
        <f>L10*'Pomocná data V. PAF'!M39</f>
        <v>2.570260416</v>
      </c>
      <c r="M221" s="385">
        <f>M10*'Pomocná data V. PAF'!N39</f>
        <v>1.017433369</v>
      </c>
      <c r="N221" s="385">
        <f>N10*'Pomocná data V. PAF'!O39</f>
        <v>0.8246892931</v>
      </c>
      <c r="O221" s="385">
        <f>O10*'Pomocná data V. PAF'!P39</f>
        <v>1.80884454</v>
      </c>
      <c r="P221" s="385">
        <f>P10*'Pomocná data V. PAF'!Q39</f>
        <v>1.339861245</v>
      </c>
      <c r="Q221" s="385">
        <f>Q10*'Pomocná data V. PAF'!R39</f>
        <v>1.853232342</v>
      </c>
      <c r="R221" s="385">
        <f>R10*'Pomocná data V. PAF'!S39</f>
        <v>0.7902935965</v>
      </c>
      <c r="S221" s="385">
        <f>S10*'Pomocná data V. PAF'!T39</f>
        <v>0.4780520474</v>
      </c>
      <c r="T221" s="385">
        <f>T10*'Pomocná data V. PAF'!U39</f>
        <v>0.7638247579</v>
      </c>
      <c r="U221" s="385">
        <f>U10*'Pomocná data V. PAF'!V39</f>
        <v>0.741400382</v>
      </c>
      <c r="V221" s="385">
        <f t="shared" si="82"/>
        <v>29.63646805</v>
      </c>
      <c r="W221" s="408"/>
      <c r="X221" s="408"/>
      <c r="Y221" s="408"/>
      <c r="Z221" s="408"/>
      <c r="AA221" s="408"/>
      <c r="AB221" s="408"/>
      <c r="AC221" s="408"/>
      <c r="AD221" s="408"/>
      <c r="AE221" s="408"/>
      <c r="AF221" s="408"/>
      <c r="AG221" s="408"/>
      <c r="AH221" s="408"/>
      <c r="AI221" s="408"/>
      <c r="AJ221" s="408"/>
      <c r="AK221" s="408"/>
      <c r="AL221" s="408"/>
      <c r="AM221" s="408"/>
      <c r="AN221" s="408"/>
      <c r="AO221" s="408"/>
      <c r="AP221" s="408"/>
      <c r="AQ221" s="408"/>
      <c r="AR221" s="408"/>
      <c r="AS221" s="408"/>
    </row>
    <row r="222" ht="15.75" customHeight="1">
      <c r="A222" s="510" t="s">
        <v>454</v>
      </c>
      <c r="B222" s="385">
        <f>B11*'Pomocná data V. PAF'!C40</f>
        <v>0.5162890046</v>
      </c>
      <c r="C222" s="385">
        <f>C11*'Pomocná data V. PAF'!D40</f>
        <v>0</v>
      </c>
      <c r="D222" s="385">
        <f>D11*'Pomocná data V. PAF'!E40</f>
        <v>6.020176872</v>
      </c>
      <c r="E222" s="385">
        <f>E11*'Pomocná data V. PAF'!F40</f>
        <v>18.65918636</v>
      </c>
      <c r="F222" s="385">
        <f>F11*'Pomocná data V. PAF'!G40</f>
        <v>0.7857879994</v>
      </c>
      <c r="G222" s="385">
        <f>G11*'Pomocná data V. PAF'!H40</f>
        <v>0</v>
      </c>
      <c r="H222" s="385">
        <f>H11*'Pomocná data V. PAF'!I40</f>
        <v>0.3465064546</v>
      </c>
      <c r="I222" s="385">
        <f>I11*'Pomocná data V. PAF'!J40</f>
        <v>3</v>
      </c>
      <c r="J222" s="385">
        <f>J11*'Pomocná data V. PAF'!K40</f>
        <v>0.7807039607</v>
      </c>
      <c r="K222" s="385">
        <f>K11*'Pomocná data V. PAF'!L40</f>
        <v>0</v>
      </c>
      <c r="L222" s="385">
        <f>L11*'Pomocná data V. PAF'!M40</f>
        <v>3.607274786</v>
      </c>
      <c r="M222" s="385">
        <f>M11*'Pomocná data V. PAF'!N40</f>
        <v>2.23027965</v>
      </c>
      <c r="N222" s="385">
        <f>N11*'Pomocná data V. PAF'!O40</f>
        <v>2.128943816</v>
      </c>
      <c r="O222" s="385">
        <f>O11*'Pomocná data V. PAF'!P40</f>
        <v>2.343944058</v>
      </c>
      <c r="P222" s="385">
        <f>P11*'Pomocná data V. PAF'!Q40</f>
        <v>2.894990947</v>
      </c>
      <c r="Q222" s="385">
        <f>Q11*'Pomocná data V. PAF'!R40</f>
        <v>2.692445722</v>
      </c>
      <c r="R222" s="385">
        <f>R11*'Pomocná data V. PAF'!S40</f>
        <v>2.291470473</v>
      </c>
      <c r="S222" s="385">
        <f>S11*'Pomocná data V. PAF'!T40</f>
        <v>1.076034238</v>
      </c>
      <c r="T222" s="385">
        <f>T11*'Pomocná data V. PAF'!U40</f>
        <v>3.614023032</v>
      </c>
      <c r="U222" s="385">
        <f>U11*'Pomocná data V. PAF'!V40</f>
        <v>0.8236109197</v>
      </c>
      <c r="V222" s="385">
        <f t="shared" si="82"/>
        <v>53.81166829</v>
      </c>
      <c r="W222" s="408"/>
      <c r="X222" s="408"/>
      <c r="Y222" s="408"/>
      <c r="Z222" s="408"/>
      <c r="AA222" s="408"/>
      <c r="AB222" s="408"/>
      <c r="AC222" s="408"/>
      <c r="AD222" s="408"/>
      <c r="AE222" s="408"/>
      <c r="AF222" s="408"/>
      <c r="AG222" s="408"/>
      <c r="AH222" s="408"/>
      <c r="AI222" s="408"/>
      <c r="AJ222" s="408"/>
      <c r="AK222" s="408"/>
      <c r="AL222" s="408"/>
      <c r="AM222" s="408"/>
      <c r="AN222" s="408"/>
      <c r="AO222" s="408"/>
      <c r="AP222" s="408"/>
      <c r="AQ222" s="408"/>
      <c r="AR222" s="408"/>
      <c r="AS222" s="408"/>
    </row>
    <row r="223" ht="15.75" customHeight="1">
      <c r="A223" s="510" t="s">
        <v>455</v>
      </c>
      <c r="B223" s="385">
        <f>B12*'Pomocná data V. PAF'!C41</f>
        <v>0.5811133329</v>
      </c>
      <c r="C223" s="385">
        <f>C12*'Pomocná data V. PAF'!D41</f>
        <v>0</v>
      </c>
      <c r="D223" s="385">
        <f>D12*'Pomocná data V. PAF'!E41</f>
        <v>10.12024952</v>
      </c>
      <c r="E223" s="385">
        <f>E12*'Pomocná data V. PAF'!F41</f>
        <v>32.59922274</v>
      </c>
      <c r="F223" s="385">
        <f>F12*'Pomocná data V. PAF'!G41</f>
        <v>1.256044276</v>
      </c>
      <c r="G223" s="385">
        <f>G12*'Pomocná data V. PAF'!H41</f>
        <v>0</v>
      </c>
      <c r="H223" s="385">
        <f>H12*'Pomocná data V. PAF'!I41</f>
        <v>1.180168908</v>
      </c>
      <c r="I223" s="385">
        <f>I12*'Pomocná data V. PAF'!J41</f>
        <v>3</v>
      </c>
      <c r="J223" s="385">
        <f>J12*'Pomocná data V. PAF'!K41</f>
        <v>0.8671368445</v>
      </c>
      <c r="K223" s="385">
        <f>K12*'Pomocná data V. PAF'!L41</f>
        <v>0</v>
      </c>
      <c r="L223" s="385">
        <f>L12*'Pomocná data V. PAF'!M41</f>
        <v>3.9240869</v>
      </c>
      <c r="M223" s="385">
        <f>M12*'Pomocná data V. PAF'!N41</f>
        <v>3.654820164</v>
      </c>
      <c r="N223" s="385">
        <f>N12*'Pomocná data V. PAF'!O41</f>
        <v>6.040820665</v>
      </c>
      <c r="O223" s="385">
        <f>O12*'Pomocná data V. PAF'!P41</f>
        <v>3.541863774</v>
      </c>
      <c r="P223" s="385">
        <f>P12*'Pomocná data V. PAF'!Q41</f>
        <v>8.578663065</v>
      </c>
      <c r="Q223" s="385">
        <f>Q12*'Pomocná data V. PAF'!R41</f>
        <v>5.574961771</v>
      </c>
      <c r="R223" s="385">
        <f>R12*'Pomocná data V. PAF'!S41</f>
        <v>3.652084254</v>
      </c>
      <c r="S223" s="385">
        <f>S12*'Pomocná data V. PAF'!T41</f>
        <v>3.629430925</v>
      </c>
      <c r="T223" s="385">
        <f>T12*'Pomocná data V. PAF'!U41</f>
        <v>6.198542218</v>
      </c>
      <c r="U223" s="385">
        <f>U12*'Pomocná data V. PAF'!V41</f>
        <v>6.389881449</v>
      </c>
      <c r="V223" s="385">
        <f t="shared" si="82"/>
        <v>100.7890908</v>
      </c>
      <c r="W223" s="408"/>
      <c r="X223" s="408"/>
      <c r="Y223" s="408"/>
      <c r="Z223" s="408"/>
      <c r="AA223" s="408"/>
      <c r="AB223" s="408"/>
      <c r="AC223" s="408"/>
      <c r="AD223" s="408"/>
      <c r="AE223" s="408"/>
      <c r="AF223" s="408"/>
      <c r="AG223" s="408"/>
      <c r="AH223" s="408"/>
      <c r="AI223" s="408"/>
      <c r="AJ223" s="408"/>
      <c r="AK223" s="408"/>
      <c r="AL223" s="408"/>
      <c r="AM223" s="408"/>
      <c r="AN223" s="408"/>
      <c r="AO223" s="408"/>
      <c r="AP223" s="408"/>
      <c r="AQ223" s="408"/>
      <c r="AR223" s="408"/>
      <c r="AS223" s="408"/>
    </row>
    <row r="224" ht="15.75" customHeight="1">
      <c r="A224" s="510" t="s">
        <v>456</v>
      </c>
      <c r="B224" s="385">
        <f>B13*'Pomocná data V. PAF'!C42</f>
        <v>0.5811133329</v>
      </c>
      <c r="C224" s="385">
        <f>C13*'Pomocná data V. PAF'!D42</f>
        <v>0</v>
      </c>
      <c r="D224" s="385">
        <f>D13*'Pomocná data V. PAF'!E42</f>
        <v>39.70251734</v>
      </c>
      <c r="E224" s="385">
        <f>E13*'Pomocná data V. PAF'!F42</f>
        <v>87.19310177</v>
      </c>
      <c r="F224" s="385">
        <f>F13*'Pomocná data V. PAF'!G42</f>
        <v>2.870958345</v>
      </c>
      <c r="G224" s="385">
        <f>G13*'Pomocná data V. PAF'!H42</f>
        <v>0</v>
      </c>
      <c r="H224" s="385">
        <f>H13*'Pomocná data V. PAF'!I42</f>
        <v>2.229207938</v>
      </c>
      <c r="I224" s="385">
        <f>I13*'Pomocná data V. PAF'!J42</f>
        <v>7</v>
      </c>
      <c r="J224" s="385">
        <f>J13*'Pomocná data V. PAF'!K42</f>
        <v>0.8671368445</v>
      </c>
      <c r="K224" s="385">
        <f>K13*'Pomocná data V. PAF'!L42</f>
        <v>0</v>
      </c>
      <c r="L224" s="385">
        <f>L13*'Pomocná data V. PAF'!M42</f>
        <v>4.796106211</v>
      </c>
      <c r="M224" s="385">
        <f>M13*'Pomocná data V. PAF'!N42</f>
        <v>9.746187105</v>
      </c>
      <c r="N224" s="385">
        <f>N13*'Pomocná data V. PAF'!O42</f>
        <v>8.72562985</v>
      </c>
      <c r="O224" s="385">
        <f>O13*'Pomocná data V. PAF'!P42</f>
        <v>6.737240875</v>
      </c>
      <c r="P224" s="385">
        <f>P13*'Pomocná data V. PAF'!Q42</f>
        <v>16.06549629</v>
      </c>
      <c r="Q224" s="385">
        <f>Q13*'Pomocná data V. PAF'!R42</f>
        <v>8.784788245</v>
      </c>
      <c r="R224" s="385">
        <f>R13*'Pomocná data V. PAF'!S42</f>
        <v>7.304168508</v>
      </c>
      <c r="S224" s="385">
        <f>S13*'Pomocná data V. PAF'!T42</f>
        <v>7.863767005</v>
      </c>
      <c r="T224" s="385">
        <f>T13*'Pomocná data V. PAF'!U42</f>
        <v>13.94671999</v>
      </c>
      <c r="U224" s="385">
        <f>U13*'Pomocná data V. PAF'!V42</f>
        <v>13.69260311</v>
      </c>
      <c r="V224" s="385">
        <f t="shared" si="82"/>
        <v>238.1067428</v>
      </c>
      <c r="W224" s="408"/>
      <c r="X224" s="408"/>
      <c r="Y224" s="408"/>
      <c r="Z224" s="408"/>
      <c r="AA224" s="408"/>
      <c r="AB224" s="408"/>
      <c r="AC224" s="408"/>
      <c r="AD224" s="408"/>
      <c r="AE224" s="408"/>
      <c r="AF224" s="408"/>
      <c r="AG224" s="408"/>
      <c r="AH224" s="408"/>
      <c r="AI224" s="408"/>
      <c r="AJ224" s="408"/>
      <c r="AK224" s="408"/>
      <c r="AL224" s="408"/>
      <c r="AM224" s="408"/>
      <c r="AN224" s="408"/>
      <c r="AO224" s="408"/>
      <c r="AP224" s="408"/>
      <c r="AQ224" s="408"/>
      <c r="AR224" s="408"/>
      <c r="AS224" s="408"/>
    </row>
    <row r="225" ht="15.75" customHeight="1">
      <c r="A225" s="506" t="s">
        <v>68</v>
      </c>
      <c r="B225" s="511">
        <f t="shared" ref="B225:U225" si="83">SUM(B215:B224)</f>
        <v>2.269548056</v>
      </c>
      <c r="C225" s="511">
        <f t="shared" si="83"/>
        <v>0</v>
      </c>
      <c r="D225" s="511">
        <f t="shared" si="83"/>
        <v>60.10941586</v>
      </c>
      <c r="E225" s="511">
        <f t="shared" si="83"/>
        <v>155.0876172</v>
      </c>
      <c r="F225" s="511">
        <f t="shared" si="83"/>
        <v>5.903217671</v>
      </c>
      <c r="G225" s="511">
        <f t="shared" si="83"/>
        <v>0</v>
      </c>
      <c r="H225" s="511">
        <f t="shared" si="83"/>
        <v>5.164125058</v>
      </c>
      <c r="I225" s="511">
        <f t="shared" si="83"/>
        <v>22</v>
      </c>
      <c r="J225" s="511">
        <f t="shared" si="83"/>
        <v>4.313654038</v>
      </c>
      <c r="K225" s="511">
        <f t="shared" si="83"/>
        <v>0</v>
      </c>
      <c r="L225" s="511">
        <f t="shared" si="83"/>
        <v>18.56316941</v>
      </c>
      <c r="M225" s="511">
        <f t="shared" si="83"/>
        <v>17.62811006</v>
      </c>
      <c r="N225" s="511">
        <f t="shared" si="83"/>
        <v>19.61769054</v>
      </c>
      <c r="O225" s="511">
        <f t="shared" si="83"/>
        <v>16.40260838</v>
      </c>
      <c r="P225" s="511">
        <f t="shared" si="83"/>
        <v>30.01361648</v>
      </c>
      <c r="Q225" s="511">
        <f t="shared" si="83"/>
        <v>20.84716775</v>
      </c>
      <c r="R225" s="511">
        <f t="shared" si="83"/>
        <v>14.82950211</v>
      </c>
      <c r="S225" s="511">
        <f t="shared" si="83"/>
        <v>14.20828679</v>
      </c>
      <c r="T225" s="511">
        <f t="shared" si="83"/>
        <v>27.28785143</v>
      </c>
      <c r="U225" s="511">
        <f t="shared" si="83"/>
        <v>22.81099028</v>
      </c>
      <c r="V225" s="506"/>
      <c r="W225" s="506"/>
      <c r="X225" s="408"/>
      <c r="Y225" s="408"/>
      <c r="Z225" s="408"/>
      <c r="AA225" s="408"/>
      <c r="AB225" s="408"/>
      <c r="AC225" s="408"/>
      <c r="AD225" s="408"/>
      <c r="AE225" s="408"/>
      <c r="AF225" s="408"/>
      <c r="AG225" s="408"/>
      <c r="AH225" s="408"/>
      <c r="AI225" s="408"/>
      <c r="AJ225" s="408"/>
      <c r="AK225" s="408"/>
      <c r="AL225" s="408"/>
      <c r="AM225" s="408"/>
      <c r="AN225" s="408"/>
      <c r="AO225" s="408"/>
      <c r="AP225" s="408"/>
      <c r="AQ225" s="408"/>
      <c r="AR225" s="408"/>
      <c r="AS225" s="408"/>
    </row>
    <row r="226" ht="15.75" customHeight="1">
      <c r="A226" s="408"/>
      <c r="B226" s="408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08"/>
      <c r="AD226" s="408"/>
      <c r="AE226" s="408"/>
      <c r="AF226" s="408"/>
      <c r="AG226" s="408"/>
      <c r="AH226" s="408"/>
      <c r="AI226" s="408"/>
      <c r="AJ226" s="408"/>
      <c r="AK226" s="408"/>
      <c r="AL226" s="408"/>
      <c r="AM226" s="408"/>
      <c r="AN226" s="408"/>
      <c r="AO226" s="408"/>
      <c r="AP226" s="408"/>
      <c r="AQ226" s="408"/>
      <c r="AR226" s="408"/>
      <c r="AS226" s="408"/>
    </row>
    <row r="227" ht="15.75" customHeight="1">
      <c r="A227" s="408"/>
      <c r="B227" s="408"/>
      <c r="C227" s="408"/>
      <c r="D227" s="408"/>
      <c r="E227" s="408"/>
      <c r="F227" s="408"/>
      <c r="G227" s="408"/>
      <c r="H227" s="408"/>
      <c r="I227" s="408"/>
      <c r="J227" s="408"/>
      <c r="K227" s="408"/>
      <c r="L227" s="408"/>
      <c r="M227" s="408"/>
      <c r="N227" s="408"/>
      <c r="O227" s="408"/>
      <c r="P227" s="408"/>
      <c r="Q227" s="408"/>
      <c r="R227" s="408"/>
      <c r="S227" s="408"/>
      <c r="T227" s="408"/>
      <c r="U227" s="408"/>
      <c r="V227" s="408"/>
      <c r="W227" s="408"/>
      <c r="X227" s="408"/>
      <c r="Y227" s="408"/>
      <c r="Z227" s="408"/>
      <c r="AA227" s="408"/>
      <c r="AB227" s="408"/>
      <c r="AC227" s="408"/>
      <c r="AD227" s="408"/>
      <c r="AE227" s="408"/>
      <c r="AF227" s="408"/>
      <c r="AG227" s="408"/>
      <c r="AH227" s="408"/>
      <c r="AI227" s="408"/>
      <c r="AJ227" s="408"/>
      <c r="AK227" s="408"/>
      <c r="AL227" s="408"/>
      <c r="AM227" s="408"/>
      <c r="AN227" s="408"/>
      <c r="AO227" s="408"/>
      <c r="AP227" s="408"/>
      <c r="AQ227" s="408"/>
      <c r="AR227" s="408"/>
      <c r="AS227" s="408"/>
    </row>
    <row r="228" ht="15.75" customHeight="1">
      <c r="A228" s="512" t="s">
        <v>460</v>
      </c>
      <c r="B228" s="512"/>
      <c r="C228" s="513" t="s">
        <v>284</v>
      </c>
      <c r="D228" s="90"/>
      <c r="E228" s="90"/>
      <c r="F228" s="513" t="s">
        <v>283</v>
      </c>
      <c r="G228" s="90"/>
      <c r="H228" s="10"/>
      <c r="I228" s="514" t="s">
        <v>443</v>
      </c>
      <c r="K228" s="514" t="s">
        <v>438</v>
      </c>
      <c r="O228" s="408"/>
      <c r="P228" s="408"/>
      <c r="Q228" s="408"/>
      <c r="R228" s="408"/>
      <c r="S228" s="408"/>
      <c r="T228" s="408"/>
      <c r="U228" s="408"/>
      <c r="V228" s="408"/>
      <c r="W228" s="408"/>
      <c r="X228" s="408"/>
      <c r="Y228" s="408"/>
      <c r="Z228" s="408"/>
      <c r="AA228" s="408"/>
      <c r="AB228" s="408"/>
      <c r="AC228" s="408"/>
      <c r="AD228" s="408"/>
      <c r="AE228" s="408"/>
      <c r="AF228" s="408"/>
      <c r="AG228" s="408"/>
      <c r="AH228" s="408"/>
      <c r="AI228" s="408"/>
      <c r="AJ228" s="408"/>
      <c r="AK228" s="408"/>
      <c r="AL228" s="408"/>
      <c r="AM228" s="408"/>
      <c r="AN228" s="408"/>
      <c r="AO228" s="408"/>
      <c r="AP228" s="408"/>
      <c r="AQ228" s="408"/>
      <c r="AR228" s="408"/>
      <c r="AS228" s="408"/>
    </row>
    <row r="229" ht="15.75" customHeight="1">
      <c r="A229" s="515"/>
      <c r="B229" s="515" t="s">
        <v>606</v>
      </c>
      <c r="C229" s="516" t="s">
        <v>607</v>
      </c>
      <c r="D229" s="517" t="s">
        <v>608</v>
      </c>
      <c r="E229" s="517" t="s">
        <v>609</v>
      </c>
      <c r="F229" s="516" t="s">
        <v>607</v>
      </c>
      <c r="G229" s="517" t="s">
        <v>608</v>
      </c>
      <c r="H229" s="518" t="s">
        <v>609</v>
      </c>
      <c r="I229" s="408" t="s">
        <v>284</v>
      </c>
      <c r="J229" s="408" t="s">
        <v>283</v>
      </c>
      <c r="K229" s="408" t="s">
        <v>440</v>
      </c>
      <c r="L229" s="408" t="s">
        <v>610</v>
      </c>
      <c r="M229" s="408" t="s">
        <v>246</v>
      </c>
      <c r="N229" s="408" t="s">
        <v>262</v>
      </c>
      <c r="O229" s="408"/>
      <c r="P229" s="408"/>
      <c r="Q229" s="408"/>
      <c r="R229" s="408"/>
      <c r="S229" s="408"/>
      <c r="T229" s="408"/>
      <c r="U229" s="408"/>
      <c r="V229" s="408"/>
      <c r="W229" s="408"/>
      <c r="X229" s="408"/>
      <c r="Y229" s="408"/>
      <c r="Z229" s="408"/>
      <c r="AA229" s="408"/>
      <c r="AB229" s="408"/>
      <c r="AC229" s="408"/>
      <c r="AD229" s="408"/>
      <c r="AE229" s="408"/>
      <c r="AF229" s="408"/>
      <c r="AG229" s="408"/>
      <c r="AH229" s="408"/>
      <c r="AI229" s="408"/>
      <c r="AJ229" s="408"/>
      <c r="AK229" s="408"/>
      <c r="AL229" s="408"/>
      <c r="AM229" s="408"/>
      <c r="AN229" s="408"/>
      <c r="AO229" s="408"/>
      <c r="AP229" s="408"/>
      <c r="AQ229" s="408"/>
      <c r="AR229" s="408"/>
      <c r="AS229" s="408"/>
    </row>
    <row r="230" ht="15.75" customHeight="1">
      <c r="A230" s="519" t="s">
        <v>447</v>
      </c>
      <c r="B230" s="520">
        <f>$Y$27-17.5</f>
        <v>45.2</v>
      </c>
      <c r="C230" s="521">
        <f t="array" ref="C230">NPV('Pomocná data IV.Mzdy a další př'!B$50, D$243:$AW$243)</f>
        <v>13484161.01</v>
      </c>
      <c r="D230" s="521">
        <f t="array" ref="D230">NPV('Pomocná data IV.Mzdy a další př'!C$50, D243:AW243)</f>
        <v>9202307.224</v>
      </c>
      <c r="E230" s="521">
        <f t="array" ref="E230">NPV('Pomocná data IV.Mzdy a další př'!D$50, D243:AW243)</f>
        <v>6679062.515</v>
      </c>
      <c r="F230" s="522">
        <f t="array" ref="F230">NPV('Pomocná data IV.Mzdy a další př'!B$50,$D$242:$AW$242)</f>
        <v>16444397.28</v>
      </c>
      <c r="G230" s="521">
        <f t="array" ref="G230">NPV('Pomocná data IV.Mzdy a další př'!C$50,$D$242:$AW$242)</f>
        <v>11105099.75</v>
      </c>
      <c r="H230" s="523">
        <f t="array" ref="H230">NPV('Pomocná data IV.Mzdy a další př'!D$50,$D$242:$AW$242)</f>
        <v>7966557.744</v>
      </c>
      <c r="I230" s="385">
        <f t="shared" ref="I230:I239" si="84">V215</f>
        <v>0.06411962734</v>
      </c>
      <c r="J230" s="408"/>
      <c r="K230" s="408" t="s">
        <v>284</v>
      </c>
      <c r="L230" s="405">
        <f>SUMPRODUCT(C230:C239,I230:I239)</f>
        <v>1173781957</v>
      </c>
      <c r="M230" s="405">
        <f>SUMPRODUCT(D230:D239,I230:I239)</f>
        <v>1033424106</v>
      </c>
      <c r="N230" s="405">
        <f>SUMPRODUCT(E230:E239,I230:I239)</f>
        <v>922561830.1</v>
      </c>
      <c r="O230" s="408"/>
      <c r="P230" s="408"/>
      <c r="Q230" s="408"/>
      <c r="R230" s="408"/>
      <c r="S230" s="408"/>
      <c r="T230" s="408"/>
      <c r="U230" s="408"/>
      <c r="V230" s="408"/>
      <c r="W230" s="408"/>
      <c r="X230" s="408"/>
      <c r="Y230" s="408"/>
      <c r="Z230" s="408"/>
      <c r="AA230" s="408"/>
      <c r="AB230" s="408"/>
      <c r="AC230" s="408"/>
      <c r="AD230" s="408"/>
      <c r="AE230" s="408"/>
      <c r="AF230" s="408"/>
      <c r="AG230" s="408"/>
      <c r="AH230" s="408"/>
      <c r="AI230" s="408"/>
      <c r="AJ230" s="408"/>
      <c r="AK230" s="408"/>
      <c r="AL230" s="408"/>
      <c r="AM230" s="408"/>
      <c r="AN230" s="408"/>
      <c r="AO230" s="408"/>
      <c r="AP230" s="408"/>
      <c r="AQ230" s="408"/>
      <c r="AR230" s="408"/>
      <c r="AS230" s="408"/>
    </row>
    <row r="231" ht="15.75" customHeight="1">
      <c r="A231" s="519" t="s">
        <v>448</v>
      </c>
      <c r="B231" s="520">
        <f>$Y$27-22.5</f>
        <v>40.2</v>
      </c>
      <c r="C231" s="521">
        <f t="array" ref="C231">NPV('Pomocná data IV.Mzdy a další př'!B$50, $I$243:$AW$243)</f>
        <v>13057331.69</v>
      </c>
      <c r="D231" s="521">
        <f t="array" ref="D231">NPV('Pomocná data IV.Mzdy a další př'!C$50, $I$243:$AW$243)</f>
        <v>9293656.693</v>
      </c>
      <c r="E231" s="521">
        <f t="array" ref="E231">NPV('Pomocná data IV.Mzdy a další př'!D$50, $I$243:$AW$243)</f>
        <v>6960800.417</v>
      </c>
      <c r="F231" s="522">
        <f t="array" ref="F231">NPV('Pomocná data IV.Mzdy a další př'!B$50,$I$242:$AW$242)</f>
        <v>16124388.03</v>
      </c>
      <c r="G231" s="521">
        <f t="array" ref="G231">NPV('Pomocná data IV.Mzdy a další př'!C$50,$I$242:$AW$242)</f>
        <v>11400067.24</v>
      </c>
      <c r="H231" s="523">
        <f t="array" ref="H231">NPV('Pomocná data IV.Mzdy a další př'!D$50,$I$242:$AW$242)</f>
        <v>8467505.615</v>
      </c>
      <c r="I231" s="385">
        <f t="shared" si="84"/>
        <v>0.6247836424</v>
      </c>
      <c r="J231" s="408"/>
      <c r="K231" s="408" t="s">
        <v>283</v>
      </c>
      <c r="L231" s="408"/>
      <c r="M231" s="408"/>
      <c r="N231" s="408"/>
      <c r="O231" s="408"/>
      <c r="P231" s="408"/>
      <c r="Q231" s="408"/>
      <c r="R231" s="408"/>
      <c r="S231" s="408"/>
      <c r="T231" s="408"/>
      <c r="U231" s="408"/>
      <c r="V231" s="408"/>
      <c r="W231" s="408"/>
      <c r="X231" s="408"/>
      <c r="Y231" s="408"/>
      <c r="Z231" s="408"/>
      <c r="AA231" s="408"/>
      <c r="AB231" s="408"/>
      <c r="AC231" s="408"/>
      <c r="AD231" s="408"/>
      <c r="AE231" s="408"/>
      <c r="AF231" s="408"/>
      <c r="AG231" s="408"/>
      <c r="AH231" s="408"/>
      <c r="AI231" s="408"/>
      <c r="AJ231" s="408"/>
      <c r="AK231" s="408"/>
      <c r="AL231" s="408"/>
      <c r="AM231" s="408"/>
      <c r="AN231" s="408"/>
      <c r="AO231" s="408"/>
      <c r="AP231" s="408"/>
      <c r="AQ231" s="408"/>
      <c r="AR231" s="408"/>
      <c r="AS231" s="408"/>
    </row>
    <row r="232" ht="15.75" customHeight="1">
      <c r="A232" s="519" t="s">
        <v>449</v>
      </c>
      <c r="B232" s="520">
        <f>$Y$27-27.5</f>
        <v>35.2</v>
      </c>
      <c r="C232" s="521">
        <f t="array" ref="C232">NPV('Pomocná data IV.Mzdy a další př'!B$50, $N$243:$AW$243)</f>
        <v>12296449.7</v>
      </c>
      <c r="D232" s="521">
        <f t="array" ref="D232">NPV('Pomocná data IV.Mzdy a další př'!C$50, $N$243:$AW$243)</f>
        <v>9105668.709</v>
      </c>
      <c r="E232" s="521">
        <f t="array" ref="E232">NPV('Pomocná data IV.Mzdy a další př'!D$50, $N$243:$AW$243)</f>
        <v>7028849.824</v>
      </c>
      <c r="F232" s="522">
        <f t="array" ref="F232">NPV('Pomocná data IV.Mzdy a další př'!B$50,$N$242:$AW$242)</f>
        <v>15418725.74</v>
      </c>
      <c r="G232" s="521">
        <f t="array" ref="G232">NPV('Pomocná data IV.Mzdy a další př'!C$50,$N$242:$AW$242)</f>
        <v>11394239.02</v>
      </c>
      <c r="H232" s="523">
        <f t="array" ref="H232">NPV('Pomocná data IV.Mzdy a další př'!D$50,$N$242:$AW$242)</f>
        <v>8760362.416</v>
      </c>
      <c r="I232" s="385">
        <f t="shared" si="84"/>
        <v>1.425613855</v>
      </c>
      <c r="J232" s="408"/>
      <c r="K232" s="408"/>
      <c r="L232" s="408"/>
      <c r="M232" s="408"/>
      <c r="N232" s="408"/>
      <c r="O232" s="408"/>
      <c r="P232" s="408"/>
      <c r="Q232" s="408"/>
      <c r="R232" s="408"/>
      <c r="S232" s="408"/>
      <c r="T232" s="408"/>
      <c r="U232" s="408"/>
      <c r="V232" s="408"/>
      <c r="W232" s="408"/>
      <c r="X232" s="408"/>
      <c r="Y232" s="408"/>
      <c r="Z232" s="408"/>
      <c r="AA232" s="408"/>
      <c r="AB232" s="408"/>
      <c r="AC232" s="408"/>
      <c r="AD232" s="408"/>
      <c r="AE232" s="408"/>
      <c r="AF232" s="408"/>
      <c r="AG232" s="408"/>
      <c r="AH232" s="408"/>
      <c r="AI232" s="408"/>
      <c r="AJ232" s="408"/>
      <c r="AK232" s="408"/>
      <c r="AL232" s="408"/>
      <c r="AM232" s="408"/>
      <c r="AN232" s="408"/>
      <c r="AO232" s="408"/>
      <c r="AP232" s="408"/>
      <c r="AQ232" s="408"/>
      <c r="AR232" s="408"/>
      <c r="AS232" s="408"/>
    </row>
    <row r="233" ht="15.75" customHeight="1">
      <c r="A233" s="519" t="s">
        <v>450</v>
      </c>
      <c r="B233" s="520">
        <f>$Y$27-32.5</f>
        <v>30.2</v>
      </c>
      <c r="C233" s="521">
        <f t="array" ref="C233">NPV('Pomocná data IV.Mzdy a další př'!B$50, $S$243:$AW$243)</f>
        <v>11131054.18</v>
      </c>
      <c r="D233" s="521">
        <f t="array" ref="D233">NPV('Pomocná data IV.Mzdy a další př'!C$50, $S$243:$AW$243)</f>
        <v>8535817.256</v>
      </c>
      <c r="E233" s="521">
        <f t="array" ref="E233">NPV('Pomocná data IV.Mzdy a další př'!D$50, $S$243:$AW$243)</f>
        <v>6762299.99</v>
      </c>
      <c r="F233" s="522">
        <f t="array" ref="F233">NPV('Pomocná data IV.Mzdy a další př'!B$50,$S$242:$AW$242)</f>
        <v>14209092.89</v>
      </c>
      <c r="G233" s="521">
        <f t="array" ref="G233">NPV('Pomocná data IV.Mzdy a další př'!C$50,$S$242:$AW$242)</f>
        <v>10938295.96</v>
      </c>
      <c r="H233" s="523">
        <f t="array" ref="H233">NPV('Pomocná data IV.Mzdy a další př'!D$50,$S$242:$AW$242)</f>
        <v>8684348.622</v>
      </c>
      <c r="I233" s="385">
        <f t="shared" si="84"/>
        <v>2.685272237</v>
      </c>
      <c r="J233" s="408"/>
      <c r="K233" s="408"/>
      <c r="L233" s="408"/>
      <c r="M233" s="408"/>
      <c r="N233" s="408"/>
      <c r="O233" s="408"/>
      <c r="P233" s="408"/>
      <c r="Q233" s="408"/>
      <c r="R233" s="408"/>
      <c r="S233" s="408"/>
      <c r="T233" s="408"/>
      <c r="U233" s="408"/>
      <c r="V233" s="408"/>
      <c r="W233" s="408"/>
      <c r="X233" s="408"/>
      <c r="Y233" s="408"/>
      <c r="Z233" s="408"/>
      <c r="AA233" s="408"/>
      <c r="AB233" s="408"/>
      <c r="AC233" s="408"/>
      <c r="AD233" s="408"/>
      <c r="AE233" s="408"/>
      <c r="AF233" s="408"/>
      <c r="AG233" s="408"/>
      <c r="AH233" s="408"/>
      <c r="AI233" s="408"/>
      <c r="AJ233" s="408"/>
      <c r="AK233" s="408"/>
      <c r="AL233" s="408"/>
      <c r="AM233" s="408"/>
      <c r="AN233" s="408"/>
      <c r="AO233" s="408"/>
      <c r="AP233" s="408"/>
      <c r="AQ233" s="408"/>
      <c r="AR233" s="408"/>
      <c r="AS233" s="408"/>
    </row>
    <row r="234" ht="15.75" customHeight="1">
      <c r="A234" s="519" t="s">
        <v>451</v>
      </c>
      <c r="B234" s="520">
        <f>$Y$27-37.5</f>
        <v>25.2</v>
      </c>
      <c r="C234" s="521">
        <f t="array" ref="C234">NPV('Pomocná data IV.Mzdy a další př'!B$50, $X$243:$AW$243)</f>
        <v>9741197.332</v>
      </c>
      <c r="D234" s="521">
        <f t="array" ref="D234">NPV('Pomocná data IV.Mzdy a další př'!C$50, $X$243:$AW$243)</f>
        <v>7732279.852</v>
      </c>
      <c r="E234" s="521">
        <f t="array" ref="E234">NPV('Pomocná data IV.Mzdy a další př'!D$50, $X$243:$AW$243)</f>
        <v>6287991.419</v>
      </c>
      <c r="F234" s="522">
        <f t="array" ref="F234">NPV('Pomocná data IV.Mzdy a další př'!B$50,$X$242:$AW$242)</f>
        <v>12530108.73</v>
      </c>
      <c r="G234" s="521">
        <f t="array" ref="G234">NPV('Pomocná data IV.Mzdy a další př'!C$50,$X$242:$AW$242)</f>
        <v>10024626.72</v>
      </c>
      <c r="H234" s="523">
        <f t="array" ref="H234">NPV('Pomocná data IV.Mzdy a další př'!D$50,$X$242:$AW$242)</f>
        <v>8207548.713</v>
      </c>
      <c r="I234" s="385">
        <f t="shared" si="84"/>
        <v>12.70252915</v>
      </c>
      <c r="J234" s="408"/>
      <c r="K234" s="408"/>
      <c r="L234" s="408"/>
      <c r="M234" s="408"/>
      <c r="N234" s="408"/>
      <c r="O234" s="408"/>
      <c r="P234" s="408"/>
      <c r="Q234" s="408"/>
      <c r="R234" s="408"/>
      <c r="S234" s="408"/>
      <c r="T234" s="408"/>
      <c r="U234" s="408"/>
      <c r="V234" s="408"/>
      <c r="W234" s="408"/>
      <c r="X234" s="408"/>
      <c r="Y234" s="408"/>
      <c r="Z234" s="408"/>
      <c r="AA234" s="408"/>
      <c r="AB234" s="408"/>
      <c r="AC234" s="408"/>
      <c r="AD234" s="408"/>
      <c r="AE234" s="408"/>
      <c r="AF234" s="408"/>
      <c r="AG234" s="408"/>
      <c r="AH234" s="408"/>
      <c r="AI234" s="408"/>
      <c r="AJ234" s="408"/>
      <c r="AK234" s="408"/>
      <c r="AL234" s="408"/>
      <c r="AM234" s="408"/>
      <c r="AN234" s="408"/>
      <c r="AO234" s="408"/>
      <c r="AP234" s="408"/>
      <c r="AQ234" s="408"/>
      <c r="AR234" s="408"/>
      <c r="AS234" s="408"/>
    </row>
    <row r="235" ht="15.75" customHeight="1">
      <c r="A235" s="519" t="s">
        <v>452</v>
      </c>
      <c r="B235" s="520">
        <f>$Y$27-42.5</f>
        <v>20.2</v>
      </c>
      <c r="C235" s="521">
        <f t="array" ref="C235">NPV('Pomocná data IV.Mzdy a další př'!B$50, $AC$243:$AW$243)</f>
        <v>8232070.236</v>
      </c>
      <c r="D235" s="521">
        <f t="array" ref="D235">NPV('Pomocná data IV.Mzdy a další př'!C$50, $AC$243:$AW$243)</f>
        <v>6781600.267</v>
      </c>
      <c r="E235" s="521">
        <f t="array" ref="E235">NPV('Pomocná data IV.Mzdy a další př'!D$50, $AC$243:$AW$243)</f>
        <v>5681834.507</v>
      </c>
      <c r="F235" s="522">
        <f t="array" ref="F235">NPV('Pomocná data IV.Mzdy a další př'!B$50,$AC$242:$AW$242)</f>
        <v>10454264.58</v>
      </c>
      <c r="G235" s="521">
        <f t="array" ref="G235">NPV('Pomocná data IV.Mzdy a další př'!C$50,$AC$242:$AW$242)</f>
        <v>8680427.4</v>
      </c>
      <c r="H235" s="523">
        <f t="array" ref="H235">NPV('Pomocná data IV.Mzdy a další př'!D$50,$AC$242:$AW$242)</f>
        <v>7325994.092</v>
      </c>
      <c r="I235" s="385">
        <f t="shared" si="84"/>
        <v>17.21028266</v>
      </c>
      <c r="J235" s="408"/>
      <c r="K235" s="408"/>
      <c r="L235" s="408"/>
      <c r="M235" s="408"/>
      <c r="N235" s="408"/>
      <c r="O235" s="408"/>
      <c r="P235" s="408"/>
      <c r="Q235" s="408"/>
      <c r="R235" s="408"/>
      <c r="S235" s="408"/>
      <c r="T235" s="408"/>
      <c r="U235" s="408"/>
      <c r="V235" s="408"/>
      <c r="W235" s="408"/>
      <c r="X235" s="408"/>
      <c r="Y235" s="408"/>
      <c r="Z235" s="408"/>
      <c r="AA235" s="408"/>
      <c r="AB235" s="408"/>
      <c r="AC235" s="408"/>
      <c r="AD235" s="408"/>
      <c r="AE235" s="408"/>
      <c r="AF235" s="408"/>
      <c r="AG235" s="408"/>
      <c r="AH235" s="408"/>
      <c r="AI235" s="408"/>
      <c r="AJ235" s="408"/>
      <c r="AK235" s="408"/>
      <c r="AL235" s="408"/>
      <c r="AM235" s="408"/>
      <c r="AN235" s="408"/>
      <c r="AO235" s="408"/>
      <c r="AP235" s="408"/>
      <c r="AQ235" s="408"/>
      <c r="AR235" s="408"/>
      <c r="AS235" s="408"/>
    </row>
    <row r="236" ht="15.75" customHeight="1">
      <c r="A236" s="519" t="s">
        <v>453</v>
      </c>
      <c r="B236" s="520">
        <f>$Y$27-47.5</f>
        <v>15.2</v>
      </c>
      <c r="C236" s="521">
        <f t="array" ref="C236">NPV('Pomocná data IV.Mzdy a další př'!B$50, $AH$243:$AW$243)</f>
        <v>6576648.722</v>
      </c>
      <c r="D236" s="521">
        <f t="array" ref="D236">NPV('Pomocná data IV.Mzdy a další př'!C$50, $AH$243:$AW$243)</f>
        <v>5635795.272</v>
      </c>
      <c r="E236" s="521">
        <f t="array" ref="E236">NPV('Pomocná data IV.Mzdy a další př'!D$50, $AH$243:$AW$243)</f>
        <v>4881565.061</v>
      </c>
      <c r="F236" s="522">
        <f t="array" ref="F236">NPV('Pomocná data IV.Mzdy a další př'!B$50,$AH$242:$AW$242)</f>
        <v>8118456.087</v>
      </c>
      <c r="G236" s="521">
        <f t="array" ref="G236">NPV('Pomocná data IV.Mzdy a další př'!C$50,$AH$242:$AW$242)</f>
        <v>6996022.382</v>
      </c>
      <c r="H236" s="523">
        <f t="array" ref="H236">NPV('Pomocná data IV.Mzdy a další př'!D$50,$AH$242:$AW$242)</f>
        <v>6091977.095</v>
      </c>
      <c r="I236" s="385">
        <f t="shared" si="84"/>
        <v>29.63646805</v>
      </c>
      <c r="J236" s="408"/>
      <c r="K236" s="408"/>
      <c r="L236" s="408"/>
      <c r="M236" s="408"/>
      <c r="N236" s="408"/>
      <c r="O236" s="408"/>
      <c r="P236" s="408"/>
      <c r="Q236" s="408"/>
      <c r="R236" s="408"/>
      <c r="S236" s="408"/>
      <c r="T236" s="408"/>
      <c r="U236" s="408"/>
      <c r="V236" s="408"/>
      <c r="W236" s="408"/>
      <c r="X236" s="408"/>
      <c r="Y236" s="408"/>
      <c r="Z236" s="408"/>
      <c r="AA236" s="408"/>
      <c r="AB236" s="408"/>
      <c r="AC236" s="408"/>
      <c r="AD236" s="408"/>
      <c r="AE236" s="408"/>
      <c r="AF236" s="408"/>
      <c r="AG236" s="408"/>
      <c r="AH236" s="408"/>
      <c r="AI236" s="408"/>
      <c r="AJ236" s="408"/>
      <c r="AK236" s="408"/>
      <c r="AL236" s="408"/>
      <c r="AM236" s="408"/>
      <c r="AN236" s="408"/>
      <c r="AO236" s="408"/>
      <c r="AP236" s="408"/>
      <c r="AQ236" s="408"/>
      <c r="AR236" s="408"/>
      <c r="AS236" s="408"/>
    </row>
    <row r="237" ht="15.75" customHeight="1">
      <c r="A237" s="519" t="s">
        <v>454</v>
      </c>
      <c r="B237" s="520">
        <f>$Y$27-52.5</f>
        <v>10.2</v>
      </c>
      <c r="C237" s="521">
        <f t="array" ref="C237">NPV('Pomocná data IV.Mzdy a další př'!B$50, $AM$243:$AW$243)</f>
        <v>4763797.213</v>
      </c>
      <c r="D237" s="521">
        <f t="array" ref="D237">NPV('Pomocná data IV.Mzdy a další př'!C$50, $AM$243:$AW$243)</f>
        <v>4257685.947</v>
      </c>
      <c r="E237" s="521">
        <f t="array" ref="E237">NPV('Pomocná data IV.Mzdy a další př'!D$50, $AM$243:$AW$243)</f>
        <v>3827680.433</v>
      </c>
      <c r="F237" s="522">
        <f t="array" ref="F237">NPV('Pomocná data IV.Mzdy a další př'!B$50,$AM$242:$AW$242)</f>
        <v>5685102.882</v>
      </c>
      <c r="G237" s="521">
        <f t="array" ref="G237">NPV('Pomocná data IV.Mzdy a další př'!C$50,$AM$242:$AW$242)</f>
        <v>5097510.933</v>
      </c>
      <c r="H237" s="523">
        <f t="array" ref="H237">NPV('Pomocná data IV.Mzdy a další př'!D$50,$AM$242:$AW$242)</f>
        <v>4596866.941</v>
      </c>
      <c r="I237" s="385">
        <f t="shared" si="84"/>
        <v>53.81166829</v>
      </c>
      <c r="J237" s="408"/>
      <c r="K237" s="408"/>
      <c r="L237" s="408"/>
      <c r="M237" s="408"/>
      <c r="N237" s="408"/>
      <c r="O237" s="408"/>
      <c r="P237" s="408"/>
      <c r="Q237" s="408"/>
      <c r="R237" s="408"/>
      <c r="S237" s="408"/>
      <c r="T237" s="408"/>
      <c r="U237" s="408"/>
      <c r="V237" s="408"/>
      <c r="W237" s="408"/>
      <c r="X237" s="408"/>
      <c r="Y237" s="408"/>
      <c r="Z237" s="408"/>
      <c r="AA237" s="408"/>
      <c r="AB237" s="408"/>
      <c r="AC237" s="408"/>
      <c r="AD237" s="408"/>
      <c r="AE237" s="408"/>
      <c r="AF237" s="408"/>
      <c r="AG237" s="408"/>
      <c r="AH237" s="408"/>
      <c r="AI237" s="408"/>
      <c r="AJ237" s="408"/>
      <c r="AK237" s="408"/>
      <c r="AL237" s="408"/>
      <c r="AM237" s="408"/>
      <c r="AN237" s="408"/>
      <c r="AO237" s="408"/>
      <c r="AP237" s="408"/>
      <c r="AQ237" s="408"/>
      <c r="AR237" s="408"/>
      <c r="AS237" s="408"/>
      <c r="AT237" s="408"/>
      <c r="AU237" s="408"/>
      <c r="AV237" s="408"/>
      <c r="AW237" s="408"/>
      <c r="AX237" s="408"/>
      <c r="AY237" s="408"/>
    </row>
    <row r="238" ht="15.75" customHeight="1">
      <c r="A238" s="519" t="s">
        <v>455</v>
      </c>
      <c r="B238" s="520">
        <f>$Y$27-57.5</f>
        <v>5.2</v>
      </c>
      <c r="C238" s="521">
        <f t="array" ref="C238">NPV('Pomocná data IV.Mzdy a další př'!B$50, $AR$243:$AW$243)</f>
        <v>2773452.344</v>
      </c>
      <c r="D238" s="521">
        <f t="array" ref="D238">NPV('Pomocná data IV.Mzdy a další př'!C$50, $AR$243:$AW$243)</f>
        <v>2592034.284</v>
      </c>
      <c r="E238" s="521">
        <f t="array" ref="E238">NPV('Pomocná data IV.Mzdy a další př'!D$50, $AR$243:$AW$243)</f>
        <v>2428199.153</v>
      </c>
      <c r="F238" s="522">
        <f t="array" ref="F238">NPV('Pomocná data IV.Mzdy a další př'!B$50,$AR$242:$AW$242)</f>
        <v>3182064.962</v>
      </c>
      <c r="G238" s="521">
        <f t="array" ref="G238">NPV('Pomocná data IV.Mzdy a další př'!C$50,$AR$242:$AW$242)</f>
        <v>2978650.365</v>
      </c>
      <c r="H238" s="523">
        <f t="array" ref="H238">NPV('Pomocná data IV.Mzdy a další př'!D$50,$AR$242:$AW$242)</f>
        <v>2794723.572</v>
      </c>
      <c r="I238" s="385">
        <f t="shared" si="84"/>
        <v>100.7890908</v>
      </c>
      <c r="J238" s="408"/>
      <c r="K238" s="408"/>
      <c r="L238" s="408"/>
      <c r="M238" s="408"/>
      <c r="N238" s="408"/>
      <c r="O238" s="408"/>
      <c r="P238" s="408"/>
      <c r="Q238" s="408"/>
      <c r="R238" s="408"/>
      <c r="S238" s="408"/>
      <c r="T238" s="408"/>
      <c r="U238" s="408"/>
      <c r="V238" s="408"/>
      <c r="W238" s="408"/>
      <c r="X238" s="408"/>
      <c r="Y238" s="408"/>
      <c r="Z238" s="408"/>
      <c r="AA238" s="408"/>
      <c r="AB238" s="408"/>
      <c r="AC238" s="408"/>
      <c r="AD238" s="408"/>
      <c r="AE238" s="408"/>
      <c r="AF238" s="408"/>
      <c r="AG238" s="408"/>
      <c r="AH238" s="408"/>
      <c r="AI238" s="408"/>
      <c r="AJ238" s="408"/>
      <c r="AK238" s="408"/>
      <c r="AL238" s="408"/>
      <c r="AM238" s="408"/>
      <c r="AN238" s="408"/>
      <c r="AO238" s="408"/>
      <c r="AP238" s="408"/>
      <c r="AQ238" s="408"/>
      <c r="AR238" s="408"/>
      <c r="AS238" s="408"/>
      <c r="AT238" s="408"/>
      <c r="AU238" s="408"/>
      <c r="AV238" s="408"/>
      <c r="AW238" s="408"/>
      <c r="AX238" s="408"/>
      <c r="AY238" s="408"/>
    </row>
    <row r="239" ht="15.75" customHeight="1">
      <c r="A239" s="524" t="s">
        <v>456</v>
      </c>
      <c r="B239" s="515">
        <f>$Y$27-62.5</f>
        <v>0.2</v>
      </c>
      <c r="C239" s="525">
        <f t="array" ref="C239">NPV('Pomocná data IV.Mzdy a další př'!B$50, $AW$243)</f>
        <v>508742.8235</v>
      </c>
      <c r="D239" s="525">
        <f t="array" ref="D239">NPV('Pomocná data IV.Mzdy a další př'!C$50, $AW$243)</f>
        <v>498959.3077</v>
      </c>
      <c r="E239" s="525">
        <f t="array" ref="E239">NPV('Pomocná data IV.Mzdy a další př'!D$50, $AW$243)</f>
        <v>489544.9811</v>
      </c>
      <c r="F239" s="526">
        <f t="array" ref="F239">NPV('Pomocná data IV.Mzdy a další př'!B$50,$AW$242)</f>
        <v>552348</v>
      </c>
      <c r="G239" s="525">
        <f t="array" ref="G239">NPV('Pomocná data IV.Mzdy a další př'!C$50,$AW$242)</f>
        <v>541725.9231</v>
      </c>
      <c r="H239" s="527">
        <f t="array" ref="H239">NPV('Pomocná data IV.Mzdy a další př'!D$50,$AW$242)</f>
        <v>531504.6792</v>
      </c>
      <c r="I239" s="385">
        <f t="shared" si="84"/>
        <v>238.1067428</v>
      </c>
      <c r="J239" s="408"/>
      <c r="K239" s="408"/>
      <c r="L239" s="408"/>
      <c r="M239" s="408"/>
      <c r="N239" s="408"/>
      <c r="O239" s="408"/>
      <c r="P239" s="408"/>
      <c r="Q239" s="408"/>
      <c r="R239" s="408"/>
      <c r="S239" s="408"/>
      <c r="T239" s="408"/>
      <c r="U239" s="408"/>
      <c r="V239" s="408"/>
      <c r="W239" s="408"/>
      <c r="X239" s="408"/>
      <c r="Y239" s="408"/>
      <c r="Z239" s="408"/>
      <c r="AA239" s="408"/>
      <c r="AB239" s="408"/>
      <c r="AC239" s="408"/>
      <c r="AD239" s="408"/>
      <c r="AE239" s="408"/>
      <c r="AF239" s="408"/>
      <c r="AG239" s="408"/>
      <c r="AH239" s="408"/>
      <c r="AI239" s="408"/>
      <c r="AJ239" s="408"/>
      <c r="AK239" s="408"/>
      <c r="AL239" s="408"/>
      <c r="AM239" s="408"/>
      <c r="AN239" s="408"/>
      <c r="AO239" s="408"/>
      <c r="AP239" s="408"/>
      <c r="AQ239" s="408"/>
      <c r="AR239" s="408"/>
      <c r="AS239" s="408"/>
      <c r="AT239" s="408"/>
      <c r="AU239" s="408"/>
      <c r="AV239" s="408"/>
      <c r="AW239" s="408"/>
      <c r="AX239" s="408"/>
      <c r="AY239" s="408"/>
    </row>
    <row r="240" ht="15.75" customHeight="1">
      <c r="A240" s="408"/>
      <c r="B240" s="408"/>
      <c r="C240" s="408"/>
      <c r="D240" s="408"/>
      <c r="E240" s="408"/>
      <c r="F240" s="528"/>
      <c r="G240" s="408"/>
      <c r="H240" s="408"/>
      <c r="I240" s="408"/>
      <c r="J240" s="408"/>
      <c r="K240" s="408"/>
      <c r="L240" s="408"/>
      <c r="M240" s="408"/>
      <c r="N240" s="408"/>
      <c r="O240" s="408"/>
      <c r="P240" s="408"/>
      <c r="Q240" s="408"/>
      <c r="R240" s="408"/>
      <c r="S240" s="408"/>
      <c r="T240" s="408"/>
      <c r="U240" s="408"/>
      <c r="V240" s="408"/>
      <c r="W240" s="408"/>
      <c r="X240" s="408"/>
      <c r="Y240" s="408"/>
      <c r="Z240" s="408"/>
      <c r="AA240" s="408"/>
      <c r="AB240" s="408"/>
      <c r="AC240" s="408"/>
      <c r="AD240" s="408"/>
      <c r="AE240" s="408"/>
      <c r="AF240" s="408"/>
      <c r="AG240" s="408"/>
      <c r="AH240" s="408"/>
      <c r="AI240" s="408"/>
      <c r="AJ240" s="408"/>
      <c r="AK240" s="408"/>
      <c r="AL240" s="408"/>
      <c r="AM240" s="408"/>
      <c r="AN240" s="408"/>
      <c r="AO240" s="408"/>
      <c r="AP240" s="408"/>
      <c r="AQ240" s="408"/>
      <c r="AR240" s="408"/>
      <c r="AS240" s="408"/>
      <c r="AT240" s="408"/>
      <c r="AU240" s="408"/>
      <c r="AV240" s="408"/>
      <c r="AW240" s="408"/>
      <c r="AX240" s="408"/>
      <c r="AY240" s="408"/>
    </row>
    <row r="241" ht="15.75" customHeight="1">
      <c r="A241" s="408" t="s">
        <v>465</v>
      </c>
      <c r="B241" s="408">
        <v>15.0</v>
      </c>
      <c r="C241" s="408">
        <v>16.0</v>
      </c>
      <c r="D241" s="408">
        <v>17.0</v>
      </c>
      <c r="E241" s="408">
        <v>18.0</v>
      </c>
      <c r="F241" s="408">
        <v>19.0</v>
      </c>
      <c r="G241" s="408">
        <v>20.0</v>
      </c>
      <c r="H241" s="408">
        <v>21.0</v>
      </c>
      <c r="I241" s="408">
        <v>22.0</v>
      </c>
      <c r="J241" s="408">
        <v>23.0</v>
      </c>
      <c r="K241" s="408">
        <v>24.0</v>
      </c>
      <c r="L241" s="408">
        <v>25.0</v>
      </c>
      <c r="M241" s="408">
        <v>26.0</v>
      </c>
      <c r="N241" s="408">
        <v>27.0</v>
      </c>
      <c r="O241" s="408">
        <v>28.0</v>
      </c>
      <c r="P241" s="408">
        <v>29.0</v>
      </c>
      <c r="Q241" s="408">
        <v>30.0</v>
      </c>
      <c r="R241" s="408">
        <v>31.0</v>
      </c>
      <c r="S241" s="408">
        <v>32.0</v>
      </c>
      <c r="T241" s="408">
        <v>33.0</v>
      </c>
      <c r="U241" s="408">
        <v>34.0</v>
      </c>
      <c r="V241" s="408">
        <v>35.0</v>
      </c>
      <c r="W241" s="408">
        <v>36.0</v>
      </c>
      <c r="X241" s="408">
        <v>37.0</v>
      </c>
      <c r="Y241" s="408">
        <v>38.0</v>
      </c>
      <c r="Z241" s="408">
        <v>39.0</v>
      </c>
      <c r="AA241" s="408">
        <v>40.0</v>
      </c>
      <c r="AB241" s="408">
        <v>41.0</v>
      </c>
      <c r="AC241" s="408">
        <v>42.0</v>
      </c>
      <c r="AD241" s="408">
        <v>43.0</v>
      </c>
      <c r="AE241" s="408">
        <v>44.0</v>
      </c>
      <c r="AF241" s="408">
        <v>45.0</v>
      </c>
      <c r="AG241" s="408">
        <v>46.0</v>
      </c>
      <c r="AH241" s="408">
        <v>47.0</v>
      </c>
      <c r="AI241" s="408">
        <v>48.0</v>
      </c>
      <c r="AJ241" s="408">
        <v>49.0</v>
      </c>
      <c r="AK241" s="408">
        <v>50.0</v>
      </c>
      <c r="AL241" s="408">
        <v>51.0</v>
      </c>
      <c r="AM241" s="408">
        <v>52.0</v>
      </c>
      <c r="AN241" s="408">
        <v>53.0</v>
      </c>
      <c r="AO241" s="408">
        <v>54.0</v>
      </c>
      <c r="AP241" s="408">
        <v>55.0</v>
      </c>
      <c r="AQ241" s="408">
        <v>56.0</v>
      </c>
      <c r="AR241" s="408">
        <v>57.0</v>
      </c>
      <c r="AS241" s="408">
        <v>58.0</v>
      </c>
      <c r="AT241" s="408">
        <v>59.0</v>
      </c>
      <c r="AU241" s="408">
        <v>60.0</v>
      </c>
      <c r="AV241" s="408">
        <v>61.0</v>
      </c>
      <c r="AW241" s="408">
        <v>62.0</v>
      </c>
      <c r="AX241" s="408">
        <v>63.0</v>
      </c>
      <c r="AY241" s="408">
        <v>64.0</v>
      </c>
    </row>
    <row r="242" ht="15.75" customHeight="1">
      <c r="A242" s="408" t="s">
        <v>283</v>
      </c>
      <c r="B242" s="405">
        <f>12*'Pomocná data IV.Mzdy a další př'!$E$4</f>
        <v>368971.68</v>
      </c>
      <c r="C242" s="405">
        <f>12*'Pomocná data IV.Mzdy a další př'!$E$4</f>
        <v>368971.68</v>
      </c>
      <c r="D242" s="405">
        <f>12*'Pomocná data IV.Mzdy a další př'!$E$4</f>
        <v>368971.68</v>
      </c>
      <c r="E242" s="405">
        <f>12*'Pomocná data IV.Mzdy a další př'!$E$4</f>
        <v>368971.68</v>
      </c>
      <c r="F242" s="405">
        <f>12*'Pomocná data IV.Mzdy a další př'!$E$4</f>
        <v>368971.68</v>
      </c>
      <c r="G242" s="405">
        <f>12*'Pomocná data IV.Mzdy a další př'!$E$5</f>
        <v>424126.08</v>
      </c>
      <c r="H242" s="405">
        <f>12*'Pomocná data IV.Mzdy a další př'!$E$5</f>
        <v>424126.08</v>
      </c>
      <c r="I242" s="405">
        <f>12*'Pomocná data IV.Mzdy a další př'!$E$5</f>
        <v>424126.08</v>
      </c>
      <c r="J242" s="405">
        <f>12*'Pomocná data IV.Mzdy a další př'!$E$5</f>
        <v>424126.08</v>
      </c>
      <c r="K242" s="405">
        <f>12*'Pomocná data IV.Mzdy a další př'!$E$5</f>
        <v>424126.08</v>
      </c>
      <c r="L242" s="405">
        <f>12*'Pomocná data IV.Mzdy a další př'!$E$6</f>
        <v>511617.36</v>
      </c>
      <c r="M242" s="405">
        <f>12*'Pomocná data IV.Mzdy a další př'!$E$6</f>
        <v>511617.36</v>
      </c>
      <c r="N242" s="405">
        <f>12*'Pomocná data IV.Mzdy a další př'!$E$6</f>
        <v>511617.36</v>
      </c>
      <c r="O242" s="405">
        <f>12*'Pomocná data IV.Mzdy a další př'!$E$6</f>
        <v>511617.36</v>
      </c>
      <c r="P242" s="405">
        <f>12*'Pomocná data IV.Mzdy a další př'!$E$6</f>
        <v>511617.36</v>
      </c>
      <c r="Q242" s="405">
        <f>12*'Pomocná data IV.Mzdy a další př'!$E$7</f>
        <v>586839.6</v>
      </c>
      <c r="R242" s="405">
        <f>12*'Pomocná data IV.Mzdy a další př'!$E$7</f>
        <v>586839.6</v>
      </c>
      <c r="S242" s="405">
        <f>12*'Pomocná data IV.Mzdy a další př'!$E$7</f>
        <v>586839.6</v>
      </c>
      <c r="T242" s="405">
        <f>12*'Pomocná data IV.Mzdy a další př'!$E$7</f>
        <v>586839.6</v>
      </c>
      <c r="U242" s="405">
        <f>12*'Pomocná data IV.Mzdy a další př'!$E$7</f>
        <v>586839.6</v>
      </c>
      <c r="V242" s="405">
        <f>12*'Pomocná data IV.Mzdy a další př'!$E$8</f>
        <v>638295.6</v>
      </c>
      <c r="W242" s="405">
        <f>12*'Pomocná data IV.Mzdy a další př'!$E$8</f>
        <v>638295.6</v>
      </c>
      <c r="X242" s="405">
        <f>12*'Pomocná data IV.Mzdy a další př'!$E$8</f>
        <v>638295.6</v>
      </c>
      <c r="Y242" s="405">
        <f>12*'Pomocná data IV.Mzdy a další př'!$E$8</f>
        <v>638295.6</v>
      </c>
      <c r="Z242" s="405">
        <f>12*'Pomocná data IV.Mzdy a další př'!$E$8</f>
        <v>638295.6</v>
      </c>
      <c r="AA242" s="405">
        <f>12*'Pomocná data IV.Mzdy a další př'!$E$9</f>
        <v>667143.12</v>
      </c>
      <c r="AB242" s="405">
        <f>12*'Pomocná data IV.Mzdy a další př'!$E$9</f>
        <v>667143.12</v>
      </c>
      <c r="AC242" s="405">
        <f>12*'Pomocná data IV.Mzdy a další př'!$E$9</f>
        <v>667143.12</v>
      </c>
      <c r="AD242" s="405">
        <f>12*'Pomocná data IV.Mzdy a další př'!$E$9</f>
        <v>667143.12</v>
      </c>
      <c r="AE242" s="405">
        <f>12*'Pomocná data IV.Mzdy a další př'!$E$9</f>
        <v>667143.12</v>
      </c>
      <c r="AF242" s="405">
        <f>12*'Pomocná data IV.Mzdy a další př'!$E$10</f>
        <v>643409.04</v>
      </c>
      <c r="AG242" s="405">
        <f>12*'Pomocná data IV.Mzdy a další př'!$E$10</f>
        <v>643409.04</v>
      </c>
      <c r="AH242" s="405">
        <f>12*'Pomocná data IV.Mzdy a další př'!$E$10</f>
        <v>643409.04</v>
      </c>
      <c r="AI242" s="405">
        <f>12*'Pomocná data IV.Mzdy a další př'!$E$10</f>
        <v>643409.04</v>
      </c>
      <c r="AJ242" s="405">
        <f>12*'Pomocná data IV.Mzdy a další př'!$E$10</f>
        <v>643409.04</v>
      </c>
      <c r="AK242" s="405">
        <f>12*'Pomocná data IV.Mzdy a další př'!$E$11</f>
        <v>608756.64</v>
      </c>
      <c r="AL242" s="405">
        <f>12*'Pomocná data IV.Mzdy a další př'!$E$11</f>
        <v>608756.64</v>
      </c>
      <c r="AM242" s="405">
        <f>12*'Pomocná data IV.Mzdy a další př'!$E$11</f>
        <v>608756.64</v>
      </c>
      <c r="AN242" s="405">
        <f>12*'Pomocná data IV.Mzdy a další př'!$E$11</f>
        <v>608756.64</v>
      </c>
      <c r="AO242" s="405">
        <f>12*'Pomocná data IV.Mzdy a další př'!$E$11</f>
        <v>608756.64</v>
      </c>
      <c r="AP242" s="405">
        <f>12*'Pomocná data IV.Mzdy a další př'!$E$12</f>
        <v>572496.24</v>
      </c>
      <c r="AQ242" s="405">
        <f>12*'Pomocná data IV.Mzdy a další př'!$E$12</f>
        <v>572496.24</v>
      </c>
      <c r="AR242" s="405">
        <f>12*'Pomocná data IV.Mzdy a další př'!$E$12</f>
        <v>572496.24</v>
      </c>
      <c r="AS242" s="405">
        <f>12*'Pomocná data IV.Mzdy a další př'!$E$12</f>
        <v>572496.24</v>
      </c>
      <c r="AT242" s="405">
        <f>12*'Pomocná data IV.Mzdy a další př'!$E$12</f>
        <v>572496.24</v>
      </c>
      <c r="AU242" s="405">
        <f>12*'Pomocná data IV.Mzdy a další př'!$E$13</f>
        <v>563394.96</v>
      </c>
      <c r="AV242" s="405">
        <f>12*'Pomocná data IV.Mzdy a další př'!$E$13</f>
        <v>563394.96</v>
      </c>
      <c r="AW242" s="405">
        <f>12*'Pomocná data IV.Mzdy a další př'!$E$13</f>
        <v>563394.96</v>
      </c>
      <c r="AX242" s="405">
        <f>12*'Pomocná data IV.Mzdy a další př'!$E$13</f>
        <v>563394.96</v>
      </c>
      <c r="AY242" s="405">
        <f>12*'Pomocná data IV.Mzdy a další př'!$E$13</f>
        <v>563394.96</v>
      </c>
    </row>
    <row r="243" ht="15.75" customHeight="1">
      <c r="A243" s="529" t="s">
        <v>284</v>
      </c>
      <c r="B243" s="405">
        <f>12*'Pomocná data IV.Mzdy a další př'!$F$4</f>
        <v>335686.08</v>
      </c>
      <c r="C243" s="405">
        <f>12*'Pomocná data IV.Mzdy a další př'!$F$4</f>
        <v>335686.08</v>
      </c>
      <c r="D243" s="405">
        <f>12*'Pomocná data IV.Mzdy a další př'!$F$4</f>
        <v>335686.08</v>
      </c>
      <c r="E243" s="405">
        <f>12*'Pomocná data IV.Mzdy a další př'!$F$4</f>
        <v>335686.08</v>
      </c>
      <c r="F243" s="405">
        <f>12*'Pomocná data IV.Mzdy a další př'!$F$4</f>
        <v>335686.08</v>
      </c>
      <c r="G243" s="405">
        <f>12*'Pomocná data IV.Mzdy a další př'!$F$5</f>
        <v>376947.36</v>
      </c>
      <c r="H243" s="405">
        <f>12*'Pomocná data IV.Mzdy a další př'!$F$5</f>
        <v>376947.36</v>
      </c>
      <c r="I243" s="405">
        <f>12*'Pomocná data IV.Mzdy a další př'!$F$5</f>
        <v>376947.36</v>
      </c>
      <c r="J243" s="405">
        <f>12*'Pomocná data IV.Mzdy a další př'!$F$5</f>
        <v>376947.36</v>
      </c>
      <c r="K243" s="405">
        <f>12*'Pomocná data IV.Mzdy a další př'!$F$5</f>
        <v>376947.36</v>
      </c>
      <c r="L243" s="405">
        <f>12*'Pomocná data IV.Mzdy a další př'!$F$6</f>
        <v>455289.12</v>
      </c>
      <c r="M243" s="405">
        <f>12*'Pomocná data IV.Mzdy a další př'!$F$6</f>
        <v>455289.12</v>
      </c>
      <c r="N243" s="405">
        <f>12*'Pomocná data IV.Mzdy a další př'!$F$6</f>
        <v>455289.12</v>
      </c>
      <c r="O243" s="405">
        <f>12*'Pomocná data IV.Mzdy a další př'!$F$6</f>
        <v>455289.12</v>
      </c>
      <c r="P243" s="405">
        <f>12*'Pomocná data IV.Mzdy a další př'!$F$6</f>
        <v>455289.12</v>
      </c>
      <c r="Q243" s="405">
        <f>12*'Pomocná data IV.Mzdy a další př'!$F$7</f>
        <v>492852</v>
      </c>
      <c r="R243" s="405">
        <f>12*'Pomocná data IV.Mzdy a další př'!$F$7</f>
        <v>492852</v>
      </c>
      <c r="S243" s="405">
        <f>12*'Pomocná data IV.Mzdy a další př'!$F$7</f>
        <v>492852</v>
      </c>
      <c r="T243" s="405">
        <f>12*'Pomocná data IV.Mzdy a další př'!$F$7</f>
        <v>492852</v>
      </c>
      <c r="U243" s="405">
        <f>12*'Pomocná data IV.Mzdy a další př'!$F$7</f>
        <v>492852</v>
      </c>
      <c r="V243" s="405">
        <f>12*'Pomocná data IV.Mzdy a další př'!$F$8</f>
        <v>484715.52</v>
      </c>
      <c r="W243" s="405">
        <f>12*'Pomocná data IV.Mzdy a další př'!$F$8</f>
        <v>484715.52</v>
      </c>
      <c r="X243" s="405">
        <f>12*'Pomocná data IV.Mzdy a další př'!$F$8</f>
        <v>484715.52</v>
      </c>
      <c r="Y243" s="405">
        <f>12*'Pomocná data IV.Mzdy a další př'!$F$8</f>
        <v>484715.52</v>
      </c>
      <c r="Z243" s="405">
        <f>12*'Pomocná data IV.Mzdy a další př'!$F$8</f>
        <v>484715.52</v>
      </c>
      <c r="AA243" s="405">
        <f>12*'Pomocná data IV.Mzdy a další př'!$F$9</f>
        <v>484972.8</v>
      </c>
      <c r="AB243" s="405">
        <f>12*'Pomocná data IV.Mzdy a další př'!$F$9</f>
        <v>484972.8</v>
      </c>
      <c r="AC243" s="405">
        <f>12*'Pomocná data IV.Mzdy a další př'!$F$9</f>
        <v>484972.8</v>
      </c>
      <c r="AD243" s="405">
        <f>12*'Pomocná data IV.Mzdy a další př'!$F$9</f>
        <v>484972.8</v>
      </c>
      <c r="AE243" s="405">
        <f>12*'Pomocná data IV.Mzdy a další př'!$F$9</f>
        <v>484972.8</v>
      </c>
      <c r="AF243" s="405">
        <f>12*'Pomocná data IV.Mzdy a další př'!$F$10</f>
        <v>479232.24</v>
      </c>
      <c r="AG243" s="405">
        <f>12*'Pomocná data IV.Mzdy a další př'!$F$10</f>
        <v>479232.24</v>
      </c>
      <c r="AH243" s="405">
        <f>12*'Pomocná data IV.Mzdy a další př'!$F$10</f>
        <v>479232.24</v>
      </c>
      <c r="AI243" s="405">
        <f>12*'Pomocná data IV.Mzdy a další př'!$F$10</f>
        <v>479232.24</v>
      </c>
      <c r="AJ243" s="405">
        <f>12*'Pomocná data IV.Mzdy a další př'!$F$10</f>
        <v>479232.24</v>
      </c>
      <c r="AK243" s="405">
        <f>12*'Pomocná data IV.Mzdy a další př'!$F$11</f>
        <v>480920.64</v>
      </c>
      <c r="AL243" s="405">
        <f>12*'Pomocná data IV.Mzdy a další př'!$F$11</f>
        <v>480920.64</v>
      </c>
      <c r="AM243" s="405">
        <f>12*'Pomocná data IV.Mzdy a další př'!$F$11</f>
        <v>480920.64</v>
      </c>
      <c r="AN243" s="405">
        <f>12*'Pomocná data IV.Mzdy a další př'!$F$11</f>
        <v>480920.64</v>
      </c>
      <c r="AO243" s="405">
        <f>12*'Pomocná data IV.Mzdy a další př'!$F$11</f>
        <v>480920.64</v>
      </c>
      <c r="AP243" s="405">
        <f>12*'Pomocná data IV.Mzdy a další př'!$F$12</f>
        <v>472719.84</v>
      </c>
      <c r="AQ243" s="405">
        <f>12*'Pomocná data IV.Mzdy a další př'!$F$12</f>
        <v>472719.84</v>
      </c>
      <c r="AR243" s="405">
        <f>12*'Pomocná data IV.Mzdy a další př'!$F$12</f>
        <v>472719.84</v>
      </c>
      <c r="AS243" s="405">
        <f>12*'Pomocná data IV.Mzdy a další př'!$F$12</f>
        <v>472719.84</v>
      </c>
      <c r="AT243" s="405">
        <f>12*'Pomocná data IV.Mzdy a další př'!$F$12</f>
        <v>472719.84</v>
      </c>
      <c r="AU243" s="405">
        <f>12*'Pomocná data IV.Mzdy a další př'!$F$13</f>
        <v>518917.68</v>
      </c>
      <c r="AV243" s="405">
        <f>12*'Pomocná data IV.Mzdy a další př'!$F$13</f>
        <v>518917.68</v>
      </c>
      <c r="AW243" s="405">
        <f>12*'Pomocná data IV.Mzdy a další př'!$F$13</f>
        <v>518917.68</v>
      </c>
      <c r="AX243" s="405">
        <f>12*'Pomocná data IV.Mzdy a další př'!$F$13</f>
        <v>518917.68</v>
      </c>
      <c r="AY243" s="405">
        <f>12*'Pomocná data IV.Mzdy a další př'!$F$13</f>
        <v>518917.68</v>
      </c>
    </row>
    <row r="244" ht="15.75" customHeight="1">
      <c r="A244" s="529"/>
      <c r="B244" s="529"/>
      <c r="C244" s="408"/>
      <c r="D244" s="408"/>
      <c r="E244" s="408"/>
      <c r="F244" s="408"/>
      <c r="G244" s="408"/>
      <c r="H244" s="408"/>
      <c r="I244" s="408"/>
      <c r="J244" s="408"/>
      <c r="K244" s="408"/>
      <c r="L244" s="408"/>
      <c r="M244" s="408"/>
      <c r="N244" s="408"/>
      <c r="O244" s="408"/>
      <c r="P244" s="408"/>
      <c r="Q244" s="408"/>
      <c r="R244" s="408"/>
      <c r="S244" s="408"/>
      <c r="T244" s="408"/>
      <c r="U244" s="408"/>
      <c r="V244" s="408"/>
      <c r="W244" s="408"/>
      <c r="X244" s="408"/>
      <c r="Y244" s="408"/>
      <c r="Z244" s="408"/>
      <c r="AA244" s="408"/>
      <c r="AB244" s="408"/>
      <c r="AC244" s="408"/>
      <c r="AD244" s="408"/>
      <c r="AE244" s="408"/>
      <c r="AF244" s="408"/>
      <c r="AG244" s="408"/>
      <c r="AH244" s="408"/>
      <c r="AI244" s="408"/>
      <c r="AJ244" s="408"/>
      <c r="AK244" s="408"/>
      <c r="AL244" s="408"/>
      <c r="AM244" s="408"/>
      <c r="AN244" s="408"/>
      <c r="AO244" s="408"/>
      <c r="AP244" s="408"/>
      <c r="AQ244" s="408"/>
      <c r="AR244" s="408"/>
      <c r="AS244" s="408"/>
      <c r="AT244" s="408"/>
      <c r="AU244" s="408"/>
      <c r="AV244" s="408"/>
      <c r="AW244" s="408"/>
      <c r="AX244" s="408"/>
      <c r="AY244" s="408"/>
    </row>
    <row r="245" ht="15.75" customHeight="1">
      <c r="A245" s="192"/>
      <c r="B245" s="192"/>
    </row>
    <row r="246" ht="15.75" customHeight="1">
      <c r="A246" s="192"/>
      <c r="B246" s="192"/>
    </row>
    <row r="247" ht="15.75" customHeight="1">
      <c r="A247" s="192"/>
      <c r="B247" s="192"/>
    </row>
    <row r="248" ht="15.75" customHeight="1">
      <c r="A248" s="192"/>
      <c r="B248" s="192"/>
    </row>
    <row r="249" ht="15.75" customHeight="1">
      <c r="A249" s="192"/>
      <c r="B249" s="192"/>
    </row>
    <row r="250" ht="15.75" customHeight="1">
      <c r="A250" s="192"/>
      <c r="B250" s="192"/>
    </row>
    <row r="251" ht="15.75" customHeight="1">
      <c r="A251" s="192"/>
      <c r="B251" s="192"/>
    </row>
    <row r="252" ht="15.75" customHeight="1">
      <c r="A252" s="192"/>
      <c r="B252" s="192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4">
    <mergeCell ref="W176:Z176"/>
    <mergeCell ref="A178:E178"/>
    <mergeCell ref="A192:C192"/>
    <mergeCell ref="C228:E228"/>
    <mergeCell ref="F228:H228"/>
    <mergeCell ref="I228:J228"/>
    <mergeCell ref="K228:N228"/>
    <mergeCell ref="W3:Y3"/>
    <mergeCell ref="A92:C92"/>
    <mergeCell ref="A111:D111"/>
    <mergeCell ref="W126:Z126"/>
    <mergeCell ref="A128:E128"/>
    <mergeCell ref="A142:C142"/>
    <mergeCell ref="A161:D161"/>
  </mergeCells>
  <printOptions/>
  <pageMargins bottom="0.787401575" footer="0.0" header="0.0" left="0.7" right="0.7" top="0.7874015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45" width="11.25"/>
  </cols>
  <sheetData>
    <row r="1" ht="15.75" customHeight="1">
      <c r="A1" s="394" t="s">
        <v>611</v>
      </c>
      <c r="B1" s="394"/>
      <c r="C1" s="394"/>
    </row>
    <row r="2" ht="15.75" customHeight="1">
      <c r="A2" s="394"/>
      <c r="B2" s="394"/>
      <c r="C2" s="394"/>
    </row>
    <row r="3" ht="15.75" customHeight="1">
      <c r="A3" s="262" t="s">
        <v>468</v>
      </c>
      <c r="B3" s="262" t="s">
        <v>288</v>
      </c>
      <c r="C3" s="262" t="s">
        <v>405</v>
      </c>
      <c r="D3" s="262" t="s">
        <v>469</v>
      </c>
      <c r="E3" s="262" t="s">
        <v>294</v>
      </c>
      <c r="F3" s="262" t="s">
        <v>296</v>
      </c>
      <c r="G3" s="262" t="s">
        <v>298</v>
      </c>
      <c r="H3" s="262" t="s">
        <v>300</v>
      </c>
      <c r="I3" s="262" t="s">
        <v>89</v>
      </c>
      <c r="J3" s="262" t="s">
        <v>303</v>
      </c>
      <c r="K3" s="262" t="s">
        <v>470</v>
      </c>
      <c r="L3" s="262" t="s">
        <v>307</v>
      </c>
      <c r="M3" s="262" t="s">
        <v>406</v>
      </c>
      <c r="N3" s="262" t="s">
        <v>311</v>
      </c>
      <c r="O3" s="262" t="s">
        <v>313</v>
      </c>
      <c r="P3" s="262" t="s">
        <v>315</v>
      </c>
      <c r="Q3" s="262" t="s">
        <v>407</v>
      </c>
      <c r="R3" s="262" t="s">
        <v>319</v>
      </c>
      <c r="S3" s="262" t="s">
        <v>321</v>
      </c>
      <c r="T3" s="262" t="s">
        <v>323</v>
      </c>
      <c r="U3" s="262" t="s">
        <v>408</v>
      </c>
      <c r="W3" s="490" t="str">
        <f>HYPERLINK("https://www.czso.cz/csu/czso/umrtnostni_tabulky","Naděje na dožití, ČSÚ 2018")</f>
        <v>Naděje na dožití, ČSÚ 2018</v>
      </c>
      <c r="X3" s="90"/>
      <c r="Y3" s="10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  <c r="AL3" s="491"/>
      <c r="AM3" s="491"/>
      <c r="AN3" s="491"/>
      <c r="AO3" s="491"/>
      <c r="AP3" s="491"/>
      <c r="AQ3" s="491"/>
      <c r="AR3" s="491"/>
      <c r="AS3" s="491"/>
    </row>
    <row r="4" ht="15.75" customHeight="1">
      <c r="A4" s="381" t="s">
        <v>447</v>
      </c>
      <c r="B4" s="492">
        <v>0.0</v>
      </c>
      <c r="C4" s="493">
        <v>0.0</v>
      </c>
      <c r="D4" s="493">
        <v>0.0</v>
      </c>
      <c r="E4" s="493">
        <v>0.0</v>
      </c>
      <c r="F4" s="493">
        <v>0.0</v>
      </c>
      <c r="G4" s="493">
        <v>0.0</v>
      </c>
      <c r="H4" s="493">
        <v>0.0</v>
      </c>
      <c r="I4" s="493">
        <v>0.0</v>
      </c>
      <c r="J4" s="493">
        <v>0.0</v>
      </c>
      <c r="K4" s="493">
        <v>0.0</v>
      </c>
      <c r="L4" s="493">
        <v>0.0</v>
      </c>
      <c r="M4" s="493" t="s">
        <v>70</v>
      </c>
      <c r="N4" s="492">
        <v>3.0</v>
      </c>
      <c r="O4" s="493">
        <v>0.0</v>
      </c>
      <c r="P4" s="493">
        <v>0.0</v>
      </c>
      <c r="Q4" s="493">
        <v>0.0</v>
      </c>
      <c r="R4" s="493" t="s">
        <v>70</v>
      </c>
      <c r="S4" s="493">
        <v>0.0</v>
      </c>
      <c r="T4" s="492">
        <v>3.0</v>
      </c>
      <c r="U4" s="493">
        <v>0.0</v>
      </c>
      <c r="V4" s="380"/>
      <c r="W4" s="494" t="s">
        <v>468</v>
      </c>
      <c r="X4" s="358" t="s">
        <v>409</v>
      </c>
      <c r="Y4" s="495" t="s">
        <v>410</v>
      </c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</row>
    <row r="5" ht="15.75" customHeight="1">
      <c r="A5" s="381" t="s">
        <v>448</v>
      </c>
      <c r="B5" s="492">
        <v>0.0</v>
      </c>
      <c r="C5" s="493">
        <v>0.0</v>
      </c>
      <c r="D5" s="493">
        <v>0.0</v>
      </c>
      <c r="E5" s="493">
        <v>0.0</v>
      </c>
      <c r="F5" s="492">
        <v>3.0</v>
      </c>
      <c r="G5" s="492">
        <v>3.0</v>
      </c>
      <c r="H5" s="492">
        <v>3.0</v>
      </c>
      <c r="I5" s="493">
        <v>0.0</v>
      </c>
      <c r="J5" s="492">
        <v>3.0</v>
      </c>
      <c r="K5" s="493">
        <v>0.0</v>
      </c>
      <c r="L5" s="493">
        <v>0.0</v>
      </c>
      <c r="M5" s="493" t="s">
        <v>70</v>
      </c>
      <c r="N5" s="493">
        <v>0.0</v>
      </c>
      <c r="O5" s="493">
        <v>0.0</v>
      </c>
      <c r="P5" s="493">
        <v>0.0</v>
      </c>
      <c r="Q5" s="492">
        <v>3.0</v>
      </c>
      <c r="R5" s="493" t="s">
        <v>70</v>
      </c>
      <c r="S5" s="493">
        <v>0.0</v>
      </c>
      <c r="T5" s="492">
        <v>3.0</v>
      </c>
      <c r="U5" s="493">
        <v>0.0</v>
      </c>
      <c r="V5" s="380"/>
      <c r="W5" s="447">
        <v>0.0</v>
      </c>
      <c r="X5" s="145">
        <v>76.1</v>
      </c>
      <c r="Y5" s="427">
        <v>81.9</v>
      </c>
    </row>
    <row r="6" ht="15.75" customHeight="1">
      <c r="A6" s="381" t="s">
        <v>449</v>
      </c>
      <c r="B6" s="492">
        <v>0.0</v>
      </c>
      <c r="C6" s="493">
        <v>0.0</v>
      </c>
      <c r="D6" s="492">
        <v>3.0</v>
      </c>
      <c r="E6" s="492">
        <v>3.0</v>
      </c>
      <c r="F6" s="493">
        <v>5.0</v>
      </c>
      <c r="G6" s="492">
        <v>3.0</v>
      </c>
      <c r="H6" s="492">
        <v>3.0</v>
      </c>
      <c r="I6" s="493">
        <v>0.0</v>
      </c>
      <c r="J6" s="493">
        <v>0.0</v>
      </c>
      <c r="K6" s="493">
        <v>0.0</v>
      </c>
      <c r="L6" s="492">
        <v>3.0</v>
      </c>
      <c r="M6" s="493" t="s">
        <v>70</v>
      </c>
      <c r="N6" s="493">
        <v>0.0</v>
      </c>
      <c r="O6" s="493">
        <v>0.0</v>
      </c>
      <c r="P6" s="493">
        <v>0.0</v>
      </c>
      <c r="Q6" s="492">
        <v>3.0</v>
      </c>
      <c r="R6" s="493" t="s">
        <v>70</v>
      </c>
      <c r="S6" s="493">
        <v>0.0</v>
      </c>
      <c r="T6" s="492">
        <v>3.0</v>
      </c>
      <c r="U6" s="493">
        <v>0.0</v>
      </c>
      <c r="V6" s="380"/>
      <c r="W6" s="447">
        <v>5.0</v>
      </c>
      <c r="X6" s="145">
        <v>71.3</v>
      </c>
      <c r="Y6" s="427">
        <v>77.1</v>
      </c>
    </row>
    <row r="7" ht="15.75" customHeight="1">
      <c r="A7" s="381" t="s">
        <v>450</v>
      </c>
      <c r="B7" s="492">
        <v>0.0</v>
      </c>
      <c r="C7" s="493">
        <v>0.0</v>
      </c>
      <c r="D7" s="492">
        <v>3.0</v>
      </c>
      <c r="E7" s="493">
        <v>5.0</v>
      </c>
      <c r="F7" s="493">
        <v>0.0</v>
      </c>
      <c r="G7" s="492">
        <v>3.0</v>
      </c>
      <c r="H7" s="492">
        <v>3.0</v>
      </c>
      <c r="I7" s="492">
        <v>3.0</v>
      </c>
      <c r="J7" s="493">
        <v>0.0</v>
      </c>
      <c r="K7" s="493">
        <v>0.0</v>
      </c>
      <c r="L7" s="493">
        <v>0.0</v>
      </c>
      <c r="M7" s="493" t="s">
        <v>70</v>
      </c>
      <c r="N7" s="493">
        <v>0.0</v>
      </c>
      <c r="O7" s="493">
        <v>0.0</v>
      </c>
      <c r="P7" s="493">
        <v>0.0</v>
      </c>
      <c r="Q7" s="492">
        <v>3.0</v>
      </c>
      <c r="R7" s="493" t="s">
        <v>70</v>
      </c>
      <c r="S7" s="493">
        <v>0.0</v>
      </c>
      <c r="T7" s="492">
        <v>3.0</v>
      </c>
      <c r="U7" s="492">
        <v>3.0</v>
      </c>
      <c r="V7" s="380"/>
      <c r="W7" s="447">
        <v>10.0</v>
      </c>
      <c r="X7" s="145">
        <v>66.4</v>
      </c>
      <c r="Y7" s="427">
        <v>72.2</v>
      </c>
    </row>
    <row r="8" ht="15.75" customHeight="1">
      <c r="A8" s="381" t="s">
        <v>451</v>
      </c>
      <c r="B8" s="492">
        <v>3.0</v>
      </c>
      <c r="C8" s="493">
        <v>0.0</v>
      </c>
      <c r="D8" s="492">
        <v>3.0</v>
      </c>
      <c r="E8" s="493">
        <v>27.0</v>
      </c>
      <c r="F8" s="492">
        <v>3.0</v>
      </c>
      <c r="G8" s="493">
        <v>5.0</v>
      </c>
      <c r="H8" s="493">
        <v>5.0</v>
      </c>
      <c r="I8" s="492">
        <v>3.0</v>
      </c>
      <c r="J8" s="492">
        <v>3.0</v>
      </c>
      <c r="K8" s="493">
        <v>0.0</v>
      </c>
      <c r="L8" s="492">
        <v>3.0</v>
      </c>
      <c r="M8" s="493" t="s">
        <v>70</v>
      </c>
      <c r="N8" s="492">
        <v>3.0</v>
      </c>
      <c r="O8" s="493">
        <v>0.0</v>
      </c>
      <c r="P8" s="492">
        <v>3.0</v>
      </c>
      <c r="Q8" s="493">
        <v>7.0</v>
      </c>
      <c r="R8" s="493" t="s">
        <v>70</v>
      </c>
      <c r="S8" s="492">
        <v>3.0</v>
      </c>
      <c r="T8" s="493">
        <v>10.0</v>
      </c>
      <c r="U8" s="492">
        <v>3.0</v>
      </c>
      <c r="V8" s="380"/>
      <c r="W8" s="447">
        <v>15.0</v>
      </c>
      <c r="X8" s="145">
        <v>61.4</v>
      </c>
      <c r="Y8" s="427">
        <v>67.2</v>
      </c>
    </row>
    <row r="9" ht="15.75" customHeight="1">
      <c r="A9" s="381" t="s">
        <v>452</v>
      </c>
      <c r="B9" s="492">
        <v>0.0</v>
      </c>
      <c r="C9" s="493">
        <v>0.0</v>
      </c>
      <c r="D9" s="493">
        <v>5.0</v>
      </c>
      <c r="E9" s="493">
        <v>80.0</v>
      </c>
      <c r="F9" s="492">
        <v>3.0</v>
      </c>
      <c r="G9" s="493">
        <v>11.0</v>
      </c>
      <c r="H9" s="493">
        <v>11.0</v>
      </c>
      <c r="I9" s="493">
        <v>0.0</v>
      </c>
      <c r="J9" s="493">
        <v>0.0</v>
      </c>
      <c r="K9" s="493">
        <v>0.0</v>
      </c>
      <c r="L9" s="493">
        <v>6.0</v>
      </c>
      <c r="M9" s="493" t="s">
        <v>70</v>
      </c>
      <c r="N9" s="493">
        <v>8.0</v>
      </c>
      <c r="O9" s="493">
        <v>0.0</v>
      </c>
      <c r="P9" s="493">
        <v>12.0</v>
      </c>
      <c r="Q9" s="493">
        <v>11.0</v>
      </c>
      <c r="R9" s="493" t="s">
        <v>70</v>
      </c>
      <c r="S9" s="492">
        <v>3.0</v>
      </c>
      <c r="T9" s="493">
        <v>14.0</v>
      </c>
      <c r="U9" s="493">
        <v>5.0</v>
      </c>
      <c r="V9" s="380"/>
      <c r="W9" s="447">
        <v>20.0</v>
      </c>
      <c r="X9" s="145">
        <v>56.5</v>
      </c>
      <c r="Y9" s="427">
        <v>62.2</v>
      </c>
      <c r="AA9" s="47"/>
    </row>
    <row r="10" ht="15.75" customHeight="1">
      <c r="A10" s="381" t="s">
        <v>453</v>
      </c>
      <c r="B10" s="492">
        <v>0.0</v>
      </c>
      <c r="C10" s="493">
        <v>0.0</v>
      </c>
      <c r="D10" s="493">
        <v>9.0</v>
      </c>
      <c r="E10" s="493">
        <v>135.0</v>
      </c>
      <c r="F10" s="493">
        <v>5.0</v>
      </c>
      <c r="G10" s="493">
        <v>10.0</v>
      </c>
      <c r="H10" s="493">
        <v>10.0</v>
      </c>
      <c r="I10" s="492">
        <v>3.0</v>
      </c>
      <c r="J10" s="492">
        <v>3.0</v>
      </c>
      <c r="K10" s="493">
        <v>0.0</v>
      </c>
      <c r="L10" s="493">
        <v>13.0</v>
      </c>
      <c r="M10" s="493" t="s">
        <v>70</v>
      </c>
      <c r="N10" s="493">
        <v>16.0</v>
      </c>
      <c r="O10" s="492">
        <v>3.0</v>
      </c>
      <c r="P10" s="493">
        <v>24.0</v>
      </c>
      <c r="Q10" s="493">
        <v>18.0</v>
      </c>
      <c r="R10" s="493" t="s">
        <v>70</v>
      </c>
      <c r="S10" s="493">
        <v>5.0</v>
      </c>
      <c r="T10" s="493">
        <v>33.0</v>
      </c>
      <c r="U10" s="493">
        <v>6.0</v>
      </c>
      <c r="V10" s="380"/>
      <c r="W10" s="447">
        <v>25.0</v>
      </c>
      <c r="X10" s="145">
        <v>51.7</v>
      </c>
      <c r="Y10" s="427">
        <v>57.3</v>
      </c>
    </row>
    <row r="11" ht="15.75" customHeight="1">
      <c r="A11" s="381" t="s">
        <v>454</v>
      </c>
      <c r="B11" s="492">
        <v>3.0</v>
      </c>
      <c r="C11" s="493">
        <v>0.0</v>
      </c>
      <c r="D11" s="493">
        <v>13.0</v>
      </c>
      <c r="E11" s="493">
        <v>280.0</v>
      </c>
      <c r="F11" s="493">
        <v>14.0</v>
      </c>
      <c r="G11" s="493">
        <v>10.0</v>
      </c>
      <c r="H11" s="493">
        <v>10.0</v>
      </c>
      <c r="I11" s="492">
        <v>3.0</v>
      </c>
      <c r="J11" s="492">
        <v>3.0</v>
      </c>
      <c r="K11" s="493">
        <v>0.0</v>
      </c>
      <c r="L11" s="493">
        <v>13.0</v>
      </c>
      <c r="M11" s="493" t="s">
        <v>70</v>
      </c>
      <c r="N11" s="493">
        <v>34.0</v>
      </c>
      <c r="O11" s="492">
        <v>3.0</v>
      </c>
      <c r="P11" s="493">
        <v>46.0</v>
      </c>
      <c r="Q11" s="493">
        <v>24.0</v>
      </c>
      <c r="R11" s="493" t="s">
        <v>70</v>
      </c>
      <c r="S11" s="493">
        <v>10.0</v>
      </c>
      <c r="T11" s="493">
        <v>59.0</v>
      </c>
      <c r="U11" s="493">
        <v>32.0</v>
      </c>
      <c r="V11" s="380"/>
      <c r="W11" s="447">
        <v>30.0</v>
      </c>
      <c r="X11" s="145">
        <v>46.9</v>
      </c>
      <c r="Y11" s="427">
        <v>52.4</v>
      </c>
    </row>
    <row r="12" ht="15.75" customHeight="1">
      <c r="A12" s="381" t="s">
        <v>455</v>
      </c>
      <c r="B12" s="492">
        <v>3.0</v>
      </c>
      <c r="C12" s="493">
        <v>0.0</v>
      </c>
      <c r="D12" s="493">
        <v>45.0</v>
      </c>
      <c r="E12" s="493">
        <v>448.0</v>
      </c>
      <c r="F12" s="493">
        <v>23.0</v>
      </c>
      <c r="G12" s="493">
        <v>13.0</v>
      </c>
      <c r="H12" s="493">
        <v>13.0</v>
      </c>
      <c r="I12" s="492">
        <v>3.0</v>
      </c>
      <c r="J12" s="493">
        <v>0.0</v>
      </c>
      <c r="K12" s="493">
        <v>0.0</v>
      </c>
      <c r="L12" s="493">
        <v>21.0</v>
      </c>
      <c r="M12" s="493" t="s">
        <v>70</v>
      </c>
      <c r="N12" s="493">
        <v>49.0</v>
      </c>
      <c r="O12" s="492">
        <v>3.0</v>
      </c>
      <c r="P12" s="493">
        <v>69.0</v>
      </c>
      <c r="Q12" s="493">
        <v>42.0</v>
      </c>
      <c r="R12" s="493" t="s">
        <v>70</v>
      </c>
      <c r="S12" s="493">
        <v>14.0</v>
      </c>
      <c r="T12" s="493">
        <v>90.0</v>
      </c>
      <c r="U12" s="493">
        <v>46.0</v>
      </c>
      <c r="V12" s="380"/>
      <c r="W12" s="447">
        <v>35.0</v>
      </c>
      <c r="X12" s="145">
        <v>42.1</v>
      </c>
      <c r="Y12" s="427">
        <v>47.5</v>
      </c>
      <c r="AA12" s="163"/>
    </row>
    <row r="13" ht="15.75" customHeight="1">
      <c r="A13" s="381" t="s">
        <v>456</v>
      </c>
      <c r="B13" s="492">
        <v>3.0</v>
      </c>
      <c r="C13" s="493">
        <v>0.0</v>
      </c>
      <c r="D13" s="493">
        <v>94.0</v>
      </c>
      <c r="E13" s="493">
        <v>901.0</v>
      </c>
      <c r="F13" s="493">
        <v>38.0</v>
      </c>
      <c r="G13" s="493">
        <v>17.0</v>
      </c>
      <c r="H13" s="493">
        <v>17.0</v>
      </c>
      <c r="I13" s="493">
        <v>9.0</v>
      </c>
      <c r="J13" s="493">
        <v>6.0</v>
      </c>
      <c r="K13" s="493">
        <v>0.0</v>
      </c>
      <c r="L13" s="493">
        <v>33.0</v>
      </c>
      <c r="M13" s="493" t="s">
        <v>70</v>
      </c>
      <c r="N13" s="493">
        <v>72.0</v>
      </c>
      <c r="O13" s="492">
        <v>3.0</v>
      </c>
      <c r="P13" s="493">
        <v>149.0</v>
      </c>
      <c r="Q13" s="493">
        <v>90.0</v>
      </c>
      <c r="R13" s="493" t="s">
        <v>70</v>
      </c>
      <c r="S13" s="493">
        <v>32.0</v>
      </c>
      <c r="T13" s="493">
        <v>184.0</v>
      </c>
      <c r="U13" s="493">
        <v>89.0</v>
      </c>
      <c r="V13" s="380"/>
      <c r="W13" s="447">
        <v>40.0</v>
      </c>
      <c r="X13" s="145">
        <v>37.4</v>
      </c>
      <c r="Y13" s="427">
        <v>42.6</v>
      </c>
    </row>
    <row r="14" ht="15.75" customHeight="1">
      <c r="A14" s="381" t="s">
        <v>457</v>
      </c>
      <c r="B14" s="492">
        <v>8.0</v>
      </c>
      <c r="C14" s="493">
        <v>0.0</v>
      </c>
      <c r="D14" s="493">
        <v>219.0</v>
      </c>
      <c r="E14" s="493">
        <v>1339.0</v>
      </c>
      <c r="F14" s="493">
        <v>79.0</v>
      </c>
      <c r="G14" s="493">
        <v>41.0</v>
      </c>
      <c r="H14" s="493">
        <v>41.0</v>
      </c>
      <c r="I14" s="493">
        <v>7.0</v>
      </c>
      <c r="J14" s="493">
        <v>14.0</v>
      </c>
      <c r="K14" s="493">
        <v>0.0</v>
      </c>
      <c r="L14" s="493">
        <v>53.0</v>
      </c>
      <c r="M14" s="493" t="s">
        <v>70</v>
      </c>
      <c r="N14" s="493">
        <v>121.0</v>
      </c>
      <c r="O14" s="492">
        <v>3.0</v>
      </c>
      <c r="P14" s="493">
        <v>211.0</v>
      </c>
      <c r="Q14" s="493">
        <v>204.0</v>
      </c>
      <c r="R14" s="493" t="s">
        <v>70</v>
      </c>
      <c r="S14" s="493">
        <v>56.0</v>
      </c>
      <c r="T14" s="493">
        <v>267.0</v>
      </c>
      <c r="U14" s="493">
        <v>152.0</v>
      </c>
      <c r="V14" s="380"/>
      <c r="W14" s="447">
        <v>45.0</v>
      </c>
      <c r="X14" s="145">
        <v>32.7</v>
      </c>
      <c r="Y14" s="427">
        <v>37.8</v>
      </c>
    </row>
    <row r="15" ht="15.75" customHeight="1">
      <c r="A15" s="381" t="s">
        <v>458</v>
      </c>
      <c r="B15" s="492">
        <v>6.0</v>
      </c>
      <c r="C15" s="493">
        <v>0.0</v>
      </c>
      <c r="D15" s="493">
        <v>289.0</v>
      </c>
      <c r="E15" s="493">
        <v>1757.0</v>
      </c>
      <c r="F15" s="493">
        <v>103.0</v>
      </c>
      <c r="G15" s="493">
        <v>44.0</v>
      </c>
      <c r="H15" s="493">
        <v>44.0</v>
      </c>
      <c r="I15" s="493">
        <v>5.0</v>
      </c>
      <c r="J15" s="493">
        <v>20.0</v>
      </c>
      <c r="K15" s="492">
        <v>3.0</v>
      </c>
      <c r="L15" s="493">
        <v>66.0</v>
      </c>
      <c r="M15" s="493" t="s">
        <v>70</v>
      </c>
      <c r="N15" s="493">
        <v>146.0</v>
      </c>
      <c r="O15" s="492">
        <v>3.0</v>
      </c>
      <c r="P15" s="493">
        <v>228.0</v>
      </c>
      <c r="Q15" s="493">
        <v>227.0</v>
      </c>
      <c r="R15" s="493" t="s">
        <v>70</v>
      </c>
      <c r="S15" s="493">
        <v>44.0</v>
      </c>
      <c r="T15" s="493">
        <v>366.0</v>
      </c>
      <c r="U15" s="493">
        <v>213.0</v>
      </c>
      <c r="V15" s="380"/>
      <c r="W15" s="447">
        <v>50.0</v>
      </c>
      <c r="X15" s="145">
        <v>28.2</v>
      </c>
      <c r="Y15" s="427">
        <v>33.0</v>
      </c>
    </row>
    <row r="16" ht="15.75" customHeight="1">
      <c r="A16" s="381" t="s">
        <v>593</v>
      </c>
      <c r="B16" s="492">
        <v>5.0</v>
      </c>
      <c r="C16" s="493">
        <v>0.0</v>
      </c>
      <c r="D16" s="493">
        <v>235.0</v>
      </c>
      <c r="E16" s="493">
        <v>1700.0</v>
      </c>
      <c r="F16" s="493">
        <v>85.0</v>
      </c>
      <c r="G16" s="493">
        <v>34.0</v>
      </c>
      <c r="H16" s="493">
        <v>34.0</v>
      </c>
      <c r="I16" s="493">
        <v>0.0</v>
      </c>
      <c r="J16" s="493">
        <v>13.0</v>
      </c>
      <c r="K16" s="493">
        <v>0.0</v>
      </c>
      <c r="L16" s="493">
        <v>51.0</v>
      </c>
      <c r="M16" s="493" t="s">
        <v>70</v>
      </c>
      <c r="N16" s="493">
        <v>109.0</v>
      </c>
      <c r="O16" s="492">
        <v>3.0</v>
      </c>
      <c r="P16" s="493">
        <v>162.0</v>
      </c>
      <c r="Q16" s="493">
        <v>212.0</v>
      </c>
      <c r="R16" s="493" t="s">
        <v>70</v>
      </c>
      <c r="S16" s="493">
        <v>59.0</v>
      </c>
      <c r="T16" s="493">
        <v>373.0</v>
      </c>
      <c r="U16" s="493">
        <v>202.0</v>
      </c>
      <c r="V16" s="380"/>
      <c r="W16" s="447">
        <v>55.0</v>
      </c>
      <c r="X16" s="145">
        <v>23.9</v>
      </c>
      <c r="Y16" s="427">
        <v>28.4</v>
      </c>
    </row>
    <row r="17" ht="15.75" customHeight="1">
      <c r="A17" s="381" t="s">
        <v>594</v>
      </c>
      <c r="B17" s="492">
        <v>12.0</v>
      </c>
      <c r="C17" s="493">
        <v>0.0</v>
      </c>
      <c r="D17" s="493">
        <v>265.0</v>
      </c>
      <c r="E17" s="493">
        <v>1761.0</v>
      </c>
      <c r="F17" s="493">
        <v>78.0</v>
      </c>
      <c r="G17" s="493">
        <v>25.0</v>
      </c>
      <c r="H17" s="493">
        <v>25.0</v>
      </c>
      <c r="I17" s="493">
        <v>0.0</v>
      </c>
      <c r="J17" s="493">
        <v>27.0</v>
      </c>
      <c r="K17" s="493">
        <v>0.0</v>
      </c>
      <c r="L17" s="493">
        <v>66.0</v>
      </c>
      <c r="M17" s="493" t="s">
        <v>70</v>
      </c>
      <c r="N17" s="493">
        <v>71.0</v>
      </c>
      <c r="O17" s="492">
        <v>3.0</v>
      </c>
      <c r="P17" s="493">
        <v>99.0</v>
      </c>
      <c r="Q17" s="493">
        <v>163.0</v>
      </c>
      <c r="R17" s="493" t="s">
        <v>70</v>
      </c>
      <c r="S17" s="493">
        <v>28.0</v>
      </c>
      <c r="T17" s="493">
        <v>400.0</v>
      </c>
      <c r="U17" s="493">
        <v>211.0</v>
      </c>
      <c r="V17" s="271"/>
      <c r="W17" s="447">
        <v>60.0</v>
      </c>
      <c r="X17" s="145">
        <v>19.8</v>
      </c>
      <c r="Y17" s="427">
        <v>23.9</v>
      </c>
    </row>
    <row r="18" ht="15.75" customHeight="1">
      <c r="A18" s="381" t="s">
        <v>595</v>
      </c>
      <c r="B18" s="492">
        <v>5.0</v>
      </c>
      <c r="C18" s="492">
        <v>3.0</v>
      </c>
      <c r="D18" s="493">
        <v>270.0</v>
      </c>
      <c r="E18" s="493">
        <v>1931.0</v>
      </c>
      <c r="F18" s="493">
        <v>53.0</v>
      </c>
      <c r="G18" s="493">
        <v>12.0</v>
      </c>
      <c r="H18" s="493">
        <v>12.0</v>
      </c>
      <c r="I18" s="493">
        <v>0.0</v>
      </c>
      <c r="J18" s="493">
        <v>25.0</v>
      </c>
      <c r="K18" s="493">
        <v>0.0</v>
      </c>
      <c r="L18" s="493">
        <v>41.0</v>
      </c>
      <c r="M18" s="493" t="s">
        <v>70</v>
      </c>
      <c r="N18" s="493">
        <v>61.0</v>
      </c>
      <c r="O18" s="492">
        <v>3.0</v>
      </c>
      <c r="P18" s="493">
        <v>49.0</v>
      </c>
      <c r="Q18" s="493">
        <v>104.0</v>
      </c>
      <c r="R18" s="493" t="s">
        <v>70</v>
      </c>
      <c r="S18" s="493">
        <v>27.0</v>
      </c>
      <c r="T18" s="493">
        <v>391.0</v>
      </c>
      <c r="U18" s="493">
        <v>241.0</v>
      </c>
      <c r="V18" s="380"/>
      <c r="W18" s="447">
        <v>65.0</v>
      </c>
      <c r="X18" s="145">
        <v>16.1</v>
      </c>
      <c r="Y18" s="427">
        <v>19.7</v>
      </c>
    </row>
    <row r="19" ht="15.75" customHeight="1">
      <c r="A19" s="381" t="s">
        <v>596</v>
      </c>
      <c r="B19" s="492">
        <v>3.0</v>
      </c>
      <c r="C19" s="493">
        <v>0.0</v>
      </c>
      <c r="D19" s="493">
        <v>107.0</v>
      </c>
      <c r="E19" s="493">
        <v>1067.0</v>
      </c>
      <c r="F19" s="493">
        <v>27.0</v>
      </c>
      <c r="G19" s="493">
        <v>10.0</v>
      </c>
      <c r="H19" s="493">
        <v>10.0</v>
      </c>
      <c r="I19" s="493">
        <v>0.0</v>
      </c>
      <c r="J19" s="493">
        <v>7.0</v>
      </c>
      <c r="K19" s="493">
        <v>0.0</v>
      </c>
      <c r="L19" s="493">
        <v>12.0</v>
      </c>
      <c r="M19" s="493" t="s">
        <v>70</v>
      </c>
      <c r="N19" s="493">
        <v>11.0</v>
      </c>
      <c r="O19" s="493">
        <v>0.0</v>
      </c>
      <c r="P19" s="493">
        <v>14.0</v>
      </c>
      <c r="Q19" s="493">
        <v>45.0</v>
      </c>
      <c r="R19" s="493" t="s">
        <v>70</v>
      </c>
      <c r="S19" s="493">
        <v>10.0</v>
      </c>
      <c r="T19" s="493">
        <v>227.0</v>
      </c>
      <c r="U19" s="493">
        <v>156.0</v>
      </c>
      <c r="V19" s="380"/>
      <c r="W19" s="447">
        <v>70.0</v>
      </c>
      <c r="X19" s="145">
        <v>12.9</v>
      </c>
      <c r="Y19" s="427">
        <v>15.7</v>
      </c>
    </row>
    <row r="20" ht="15.75" customHeight="1">
      <c r="A20" s="381" t="s">
        <v>597</v>
      </c>
      <c r="B20" s="492">
        <v>3.0</v>
      </c>
      <c r="C20" s="493">
        <v>0.0</v>
      </c>
      <c r="D20" s="493">
        <v>17.0</v>
      </c>
      <c r="E20" s="493">
        <v>258.0</v>
      </c>
      <c r="F20" s="492">
        <v>3.0</v>
      </c>
      <c r="G20" s="492">
        <v>3.0</v>
      </c>
      <c r="H20" s="492">
        <v>3.0</v>
      </c>
      <c r="I20" s="493">
        <v>0.0</v>
      </c>
      <c r="J20" s="492">
        <v>3.0</v>
      </c>
      <c r="K20" s="493">
        <v>0.0</v>
      </c>
      <c r="L20" s="492">
        <v>3.0</v>
      </c>
      <c r="M20" s="493" t="s">
        <v>70</v>
      </c>
      <c r="N20" s="493">
        <v>5.0</v>
      </c>
      <c r="O20" s="493">
        <v>0.0</v>
      </c>
      <c r="P20" s="492">
        <v>3.0</v>
      </c>
      <c r="Q20" s="493">
        <v>6.0</v>
      </c>
      <c r="R20" s="493" t="s">
        <v>70</v>
      </c>
      <c r="S20" s="492">
        <v>3.0</v>
      </c>
      <c r="T20" s="493">
        <v>55.0</v>
      </c>
      <c r="U20" s="493">
        <v>34.0</v>
      </c>
      <c r="V20" s="380"/>
      <c r="W20" s="447">
        <v>75.0</v>
      </c>
      <c r="X20" s="145">
        <v>10.0</v>
      </c>
      <c r="Y20" s="427">
        <v>12.0</v>
      </c>
    </row>
    <row r="21" ht="15.75" customHeight="1">
      <c r="A21" s="496" t="s">
        <v>68</v>
      </c>
      <c r="B21" s="496">
        <f t="shared" ref="B21:U21" si="1">SUM(B4:B20)</f>
        <v>54</v>
      </c>
      <c r="C21" s="496">
        <f t="shared" si="1"/>
        <v>3</v>
      </c>
      <c r="D21" s="496">
        <f t="shared" si="1"/>
        <v>1577</v>
      </c>
      <c r="E21" s="496">
        <f t="shared" si="1"/>
        <v>11692</v>
      </c>
      <c r="F21" s="496">
        <f t="shared" si="1"/>
        <v>522</v>
      </c>
      <c r="G21" s="496">
        <f t="shared" si="1"/>
        <v>244</v>
      </c>
      <c r="H21" s="496">
        <f t="shared" si="1"/>
        <v>244</v>
      </c>
      <c r="I21" s="496">
        <f t="shared" si="1"/>
        <v>36</v>
      </c>
      <c r="J21" s="496">
        <f t="shared" si="1"/>
        <v>127</v>
      </c>
      <c r="K21" s="496">
        <f t="shared" si="1"/>
        <v>3</v>
      </c>
      <c r="L21" s="496">
        <f t="shared" si="1"/>
        <v>384</v>
      </c>
      <c r="M21" s="496">
        <f t="shared" si="1"/>
        <v>0</v>
      </c>
      <c r="N21" s="496">
        <f t="shared" si="1"/>
        <v>709</v>
      </c>
      <c r="O21" s="496">
        <f t="shared" si="1"/>
        <v>27</v>
      </c>
      <c r="P21" s="496">
        <f t="shared" si="1"/>
        <v>1069</v>
      </c>
      <c r="Q21" s="496">
        <f t="shared" si="1"/>
        <v>1162</v>
      </c>
      <c r="R21" s="496">
        <f t="shared" si="1"/>
        <v>0</v>
      </c>
      <c r="S21" s="496">
        <f t="shared" si="1"/>
        <v>294</v>
      </c>
      <c r="T21" s="496">
        <f t="shared" si="1"/>
        <v>2481</v>
      </c>
      <c r="U21" s="496">
        <f t="shared" si="1"/>
        <v>1393</v>
      </c>
      <c r="V21" s="380"/>
      <c r="W21" s="447">
        <v>80.0</v>
      </c>
      <c r="X21" s="145">
        <v>7.4</v>
      </c>
      <c r="Y21" s="427">
        <v>8.6</v>
      </c>
    </row>
    <row r="22" ht="15.75" customHeight="1">
      <c r="V22" s="380"/>
      <c r="W22" s="447">
        <v>85.0</v>
      </c>
      <c r="X22" s="145">
        <v>5.2</v>
      </c>
      <c r="Y22" s="427">
        <v>5.9</v>
      </c>
    </row>
    <row r="23" ht="15.75" customHeight="1">
      <c r="A23" s="13" t="s">
        <v>598</v>
      </c>
      <c r="W23" s="447">
        <v>90.0</v>
      </c>
      <c r="X23" s="145">
        <v>0.0</v>
      </c>
      <c r="Y23" s="427">
        <v>0.0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</row>
    <row r="24" ht="15.75" customHeight="1">
      <c r="A24" s="13" t="s">
        <v>599</v>
      </c>
      <c r="W24" s="447">
        <v>95.0</v>
      </c>
      <c r="X24" s="14">
        <v>0.0</v>
      </c>
      <c r="Y24" s="427">
        <v>0.0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ht="15.75" customHeight="1">
      <c r="A25" s="262" t="s">
        <v>468</v>
      </c>
      <c r="B25" s="262" t="s">
        <v>288</v>
      </c>
      <c r="C25" s="262" t="s">
        <v>405</v>
      </c>
      <c r="D25" s="262" t="s">
        <v>469</v>
      </c>
      <c r="E25" s="262" t="s">
        <v>294</v>
      </c>
      <c r="F25" s="262" t="s">
        <v>296</v>
      </c>
      <c r="G25" s="262" t="s">
        <v>298</v>
      </c>
      <c r="H25" s="262" t="s">
        <v>300</v>
      </c>
      <c r="I25" s="262" t="s">
        <v>89</v>
      </c>
      <c r="J25" s="262" t="s">
        <v>303</v>
      </c>
      <c r="K25" s="262" t="s">
        <v>470</v>
      </c>
      <c r="L25" s="262" t="s">
        <v>307</v>
      </c>
      <c r="M25" s="262" t="s">
        <v>406</v>
      </c>
      <c r="N25" s="262" t="s">
        <v>311</v>
      </c>
      <c r="O25" s="262" t="s">
        <v>313</v>
      </c>
      <c r="P25" s="262" t="s">
        <v>315</v>
      </c>
      <c r="Q25" s="262" t="s">
        <v>407</v>
      </c>
      <c r="R25" s="262" t="s">
        <v>319</v>
      </c>
      <c r="S25" s="262" t="s">
        <v>321</v>
      </c>
      <c r="T25" s="262" t="s">
        <v>323</v>
      </c>
      <c r="U25" s="262" t="s">
        <v>408</v>
      </c>
      <c r="W25" s="494" t="s">
        <v>600</v>
      </c>
      <c r="X25" s="358">
        <v>0.0</v>
      </c>
      <c r="Y25" s="495">
        <v>0.0</v>
      </c>
    </row>
    <row r="26" ht="15.75" customHeight="1">
      <c r="A26" s="381" t="s">
        <v>447</v>
      </c>
      <c r="B26" s="145">
        <f t="shared" ref="B26:L26" si="2">B4*$X$8</f>
        <v>0</v>
      </c>
      <c r="C26" s="145">
        <f t="shared" si="2"/>
        <v>0</v>
      </c>
      <c r="D26" s="145">
        <f t="shared" si="2"/>
        <v>0</v>
      </c>
      <c r="E26" s="145">
        <f t="shared" si="2"/>
        <v>0</v>
      </c>
      <c r="F26" s="145">
        <f t="shared" si="2"/>
        <v>0</v>
      </c>
      <c r="G26" s="145">
        <f t="shared" si="2"/>
        <v>0</v>
      </c>
      <c r="H26" s="145">
        <f t="shared" si="2"/>
        <v>0</v>
      </c>
      <c r="I26" s="145">
        <f t="shared" si="2"/>
        <v>0</v>
      </c>
      <c r="J26" s="145">
        <f t="shared" si="2"/>
        <v>0</v>
      </c>
      <c r="K26" s="145">
        <f t="shared" si="2"/>
        <v>0</v>
      </c>
      <c r="L26" s="145">
        <f t="shared" si="2"/>
        <v>0</v>
      </c>
      <c r="N26" s="145">
        <f t="shared" ref="N26:Q26" si="3">N4*$X$8</f>
        <v>184.2</v>
      </c>
      <c r="O26" s="145">
        <f t="shared" si="3"/>
        <v>0</v>
      </c>
      <c r="P26" s="145">
        <f t="shared" si="3"/>
        <v>0</v>
      </c>
      <c r="Q26" s="145">
        <f t="shared" si="3"/>
        <v>0</v>
      </c>
      <c r="S26" s="145">
        <f t="shared" ref="S26:U26" si="4">S4*$X$8</f>
        <v>0</v>
      </c>
      <c r="T26" s="145">
        <f t="shared" si="4"/>
        <v>184.2</v>
      </c>
      <c r="U26" s="145">
        <f t="shared" si="4"/>
        <v>0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  <row r="27" ht="15.75" customHeight="1">
      <c r="A27" s="381" t="s">
        <v>448</v>
      </c>
      <c r="B27" s="145">
        <f t="shared" ref="B27:L27" si="5">B5*$X$9</f>
        <v>0</v>
      </c>
      <c r="C27" s="145">
        <f t="shared" si="5"/>
        <v>0</v>
      </c>
      <c r="D27" s="145">
        <f t="shared" si="5"/>
        <v>0</v>
      </c>
      <c r="E27" s="145">
        <f t="shared" si="5"/>
        <v>0</v>
      </c>
      <c r="F27" s="145">
        <f t="shared" si="5"/>
        <v>169.5</v>
      </c>
      <c r="G27" s="145">
        <f t="shared" si="5"/>
        <v>169.5</v>
      </c>
      <c r="H27" s="145">
        <f t="shared" si="5"/>
        <v>169.5</v>
      </c>
      <c r="I27" s="145">
        <f t="shared" si="5"/>
        <v>0</v>
      </c>
      <c r="J27" s="145">
        <f t="shared" si="5"/>
        <v>169.5</v>
      </c>
      <c r="K27" s="145">
        <f t="shared" si="5"/>
        <v>0</v>
      </c>
      <c r="L27" s="145">
        <f t="shared" si="5"/>
        <v>0</v>
      </c>
      <c r="N27" s="145">
        <f t="shared" ref="N27:Q27" si="6">N5*$X$9</f>
        <v>0</v>
      </c>
      <c r="O27" s="145">
        <f t="shared" si="6"/>
        <v>0</v>
      </c>
      <c r="P27" s="145">
        <f t="shared" si="6"/>
        <v>0</v>
      </c>
      <c r="Q27" s="145">
        <f t="shared" si="6"/>
        <v>169.5</v>
      </c>
      <c r="S27" s="145">
        <f t="shared" ref="S27:U27" si="7">S5*$X$9</f>
        <v>0</v>
      </c>
      <c r="T27" s="145">
        <f t="shared" si="7"/>
        <v>169.5</v>
      </c>
      <c r="U27" s="145">
        <f t="shared" si="7"/>
        <v>0</v>
      </c>
      <c r="W27" s="498" t="str">
        <f>HYPERLINK("https://www.oecd.org/els/emp/average-effective-age-of-retirement.htm","Průměrný věk odchodu do důchodu (OECD, 2018)")</f>
        <v>Průměrný věk odchodu do důchodu (OECD, 2018)</v>
      </c>
      <c r="X27" s="20">
        <v>63.2</v>
      </c>
      <c r="Y27" s="20">
        <v>62.7</v>
      </c>
    </row>
    <row r="28" ht="15.75" customHeight="1">
      <c r="A28" s="381" t="s">
        <v>449</v>
      </c>
      <c r="B28" s="145">
        <f t="shared" ref="B28:L28" si="8">B6*$X$10</f>
        <v>0</v>
      </c>
      <c r="C28" s="145">
        <f t="shared" si="8"/>
        <v>0</v>
      </c>
      <c r="D28" s="145">
        <f t="shared" si="8"/>
        <v>155.1</v>
      </c>
      <c r="E28" s="145">
        <f t="shared" si="8"/>
        <v>155.1</v>
      </c>
      <c r="F28" s="145">
        <f t="shared" si="8"/>
        <v>258.5</v>
      </c>
      <c r="G28" s="145">
        <f t="shared" si="8"/>
        <v>155.1</v>
      </c>
      <c r="H28" s="145">
        <f t="shared" si="8"/>
        <v>155.1</v>
      </c>
      <c r="I28" s="145">
        <f t="shared" si="8"/>
        <v>0</v>
      </c>
      <c r="J28" s="145">
        <f t="shared" si="8"/>
        <v>0</v>
      </c>
      <c r="K28" s="145">
        <f t="shared" si="8"/>
        <v>0</v>
      </c>
      <c r="L28" s="145">
        <f t="shared" si="8"/>
        <v>155.1</v>
      </c>
      <c r="N28" s="145">
        <f t="shared" ref="N28:Q28" si="9">N6*$X$10</f>
        <v>0</v>
      </c>
      <c r="O28" s="145">
        <f t="shared" si="9"/>
        <v>0</v>
      </c>
      <c r="P28" s="145">
        <f t="shared" si="9"/>
        <v>0</v>
      </c>
      <c r="Q28" s="145">
        <f t="shared" si="9"/>
        <v>155.1</v>
      </c>
      <c r="S28" s="145">
        <f t="shared" ref="S28:U28" si="10">S6*$X$10</f>
        <v>0</v>
      </c>
      <c r="T28" s="145">
        <f t="shared" si="10"/>
        <v>155.1</v>
      </c>
      <c r="U28" s="145">
        <f t="shared" si="10"/>
        <v>0</v>
      </c>
    </row>
    <row r="29" ht="15.75" customHeight="1">
      <c r="A29" s="381" t="s">
        <v>450</v>
      </c>
      <c r="B29" s="145">
        <f t="shared" ref="B29:L29" si="11">B7*$X$11</f>
        <v>0</v>
      </c>
      <c r="C29" s="145">
        <f t="shared" si="11"/>
        <v>0</v>
      </c>
      <c r="D29" s="145">
        <f t="shared" si="11"/>
        <v>140.7</v>
      </c>
      <c r="E29" s="145">
        <f t="shared" si="11"/>
        <v>234.5</v>
      </c>
      <c r="F29" s="145">
        <f t="shared" si="11"/>
        <v>0</v>
      </c>
      <c r="G29" s="145">
        <f t="shared" si="11"/>
        <v>140.7</v>
      </c>
      <c r="H29" s="145">
        <f t="shared" si="11"/>
        <v>140.7</v>
      </c>
      <c r="I29" s="145">
        <f t="shared" si="11"/>
        <v>140.7</v>
      </c>
      <c r="J29" s="145">
        <f t="shared" si="11"/>
        <v>0</v>
      </c>
      <c r="K29" s="145">
        <f t="shared" si="11"/>
        <v>0</v>
      </c>
      <c r="L29" s="145">
        <f t="shared" si="11"/>
        <v>0</v>
      </c>
      <c r="N29" s="145">
        <f t="shared" ref="N29:Q29" si="12">N7*$X$11</f>
        <v>0</v>
      </c>
      <c r="O29" s="145">
        <f t="shared" si="12"/>
        <v>0</v>
      </c>
      <c r="P29" s="145">
        <f t="shared" si="12"/>
        <v>0</v>
      </c>
      <c r="Q29" s="145">
        <f t="shared" si="12"/>
        <v>140.7</v>
      </c>
      <c r="S29" s="145">
        <f t="shared" ref="S29:U29" si="13">S7*$X$11</f>
        <v>0</v>
      </c>
      <c r="T29" s="145">
        <f t="shared" si="13"/>
        <v>140.7</v>
      </c>
      <c r="U29" s="145">
        <f t="shared" si="13"/>
        <v>140.7</v>
      </c>
    </row>
    <row r="30" ht="15.75" customHeight="1">
      <c r="A30" s="381" t="s">
        <v>451</v>
      </c>
      <c r="B30" s="145">
        <f t="shared" ref="B30:L30" si="14">B8*$X$12</f>
        <v>126.3</v>
      </c>
      <c r="C30" s="145">
        <f t="shared" si="14"/>
        <v>0</v>
      </c>
      <c r="D30" s="145">
        <f t="shared" si="14"/>
        <v>126.3</v>
      </c>
      <c r="E30" s="145">
        <f t="shared" si="14"/>
        <v>1136.7</v>
      </c>
      <c r="F30" s="145">
        <f t="shared" si="14"/>
        <v>126.3</v>
      </c>
      <c r="G30" s="145">
        <f t="shared" si="14"/>
        <v>210.5</v>
      </c>
      <c r="H30" s="145">
        <f t="shared" si="14"/>
        <v>210.5</v>
      </c>
      <c r="I30" s="145">
        <f t="shared" si="14"/>
        <v>126.3</v>
      </c>
      <c r="J30" s="145">
        <f t="shared" si="14"/>
        <v>126.3</v>
      </c>
      <c r="K30" s="145">
        <f t="shared" si="14"/>
        <v>0</v>
      </c>
      <c r="L30" s="145">
        <f t="shared" si="14"/>
        <v>126.3</v>
      </c>
      <c r="N30" s="145">
        <f t="shared" ref="N30:Q30" si="15">N8*$X$12</f>
        <v>126.3</v>
      </c>
      <c r="O30" s="145">
        <f t="shared" si="15"/>
        <v>0</v>
      </c>
      <c r="P30" s="145">
        <f t="shared" si="15"/>
        <v>126.3</v>
      </c>
      <c r="Q30" s="145">
        <f t="shared" si="15"/>
        <v>294.7</v>
      </c>
      <c r="S30" s="145">
        <f t="shared" ref="S30:U30" si="16">S8*$X$12</f>
        <v>126.3</v>
      </c>
      <c r="T30" s="145">
        <f t="shared" si="16"/>
        <v>421</v>
      </c>
      <c r="U30" s="145">
        <f t="shared" si="16"/>
        <v>126.3</v>
      </c>
    </row>
    <row r="31" ht="15.75" customHeight="1">
      <c r="A31" s="381" t="s">
        <v>452</v>
      </c>
      <c r="B31" s="145">
        <f t="shared" ref="B31:L31" si="17">B9*$X$13</f>
        <v>0</v>
      </c>
      <c r="C31" s="145">
        <f t="shared" si="17"/>
        <v>0</v>
      </c>
      <c r="D31" s="145">
        <f t="shared" si="17"/>
        <v>187</v>
      </c>
      <c r="E31" s="145">
        <f t="shared" si="17"/>
        <v>2992</v>
      </c>
      <c r="F31" s="145">
        <f t="shared" si="17"/>
        <v>112.2</v>
      </c>
      <c r="G31" s="145">
        <f t="shared" si="17"/>
        <v>411.4</v>
      </c>
      <c r="H31" s="145">
        <f t="shared" si="17"/>
        <v>411.4</v>
      </c>
      <c r="I31" s="145">
        <f t="shared" si="17"/>
        <v>0</v>
      </c>
      <c r="J31" s="145">
        <f t="shared" si="17"/>
        <v>0</v>
      </c>
      <c r="K31" s="145">
        <f t="shared" si="17"/>
        <v>0</v>
      </c>
      <c r="L31" s="145">
        <f t="shared" si="17"/>
        <v>224.4</v>
      </c>
      <c r="N31" s="145">
        <f t="shared" ref="N31:Q31" si="18">N9*$X$13</f>
        <v>299.2</v>
      </c>
      <c r="O31" s="145">
        <f t="shared" si="18"/>
        <v>0</v>
      </c>
      <c r="P31" s="145">
        <f t="shared" si="18"/>
        <v>448.8</v>
      </c>
      <c r="Q31" s="145">
        <f t="shared" si="18"/>
        <v>411.4</v>
      </c>
      <c r="S31" s="145">
        <f t="shared" ref="S31:U31" si="19">S9*$X$13</f>
        <v>112.2</v>
      </c>
      <c r="T31" s="145">
        <f t="shared" si="19"/>
        <v>523.6</v>
      </c>
      <c r="U31" s="145">
        <f t="shared" si="19"/>
        <v>187</v>
      </c>
    </row>
    <row r="32" ht="15.75" customHeight="1">
      <c r="A32" s="381" t="s">
        <v>453</v>
      </c>
      <c r="B32" s="145">
        <f t="shared" ref="B32:L32" si="20">B10*$X$14</f>
        <v>0</v>
      </c>
      <c r="C32" s="145">
        <f t="shared" si="20"/>
        <v>0</v>
      </c>
      <c r="D32" s="145">
        <f t="shared" si="20"/>
        <v>294.3</v>
      </c>
      <c r="E32" s="145">
        <f t="shared" si="20"/>
        <v>4414.5</v>
      </c>
      <c r="F32" s="145">
        <f t="shared" si="20"/>
        <v>163.5</v>
      </c>
      <c r="G32" s="145">
        <f t="shared" si="20"/>
        <v>327</v>
      </c>
      <c r="H32" s="145">
        <f t="shared" si="20"/>
        <v>327</v>
      </c>
      <c r="I32" s="145">
        <f t="shared" si="20"/>
        <v>98.1</v>
      </c>
      <c r="J32" s="145">
        <f t="shared" si="20"/>
        <v>98.1</v>
      </c>
      <c r="K32" s="145">
        <f t="shared" si="20"/>
        <v>0</v>
      </c>
      <c r="L32" s="145">
        <f t="shared" si="20"/>
        <v>425.1</v>
      </c>
      <c r="N32" s="145">
        <f t="shared" ref="N32:Q32" si="21">N10*$X$14</f>
        <v>523.2</v>
      </c>
      <c r="O32" s="145">
        <f t="shared" si="21"/>
        <v>98.1</v>
      </c>
      <c r="P32" s="145">
        <f t="shared" si="21"/>
        <v>784.8</v>
      </c>
      <c r="Q32" s="145">
        <f t="shared" si="21"/>
        <v>588.6</v>
      </c>
      <c r="S32" s="145">
        <f t="shared" ref="S32:U32" si="22">S10*$X$14</f>
        <v>163.5</v>
      </c>
      <c r="T32" s="145">
        <f t="shared" si="22"/>
        <v>1079.1</v>
      </c>
      <c r="U32" s="145">
        <f t="shared" si="22"/>
        <v>196.2</v>
      </c>
    </row>
    <row r="33" ht="15.75" customHeight="1">
      <c r="A33" s="381" t="s">
        <v>454</v>
      </c>
      <c r="B33" s="145">
        <f t="shared" ref="B33:L33" si="23">B11*$X$15</f>
        <v>84.6</v>
      </c>
      <c r="C33" s="145">
        <f t="shared" si="23"/>
        <v>0</v>
      </c>
      <c r="D33" s="145">
        <f t="shared" si="23"/>
        <v>366.6</v>
      </c>
      <c r="E33" s="145">
        <f t="shared" si="23"/>
        <v>7896</v>
      </c>
      <c r="F33" s="145">
        <f t="shared" si="23"/>
        <v>394.8</v>
      </c>
      <c r="G33" s="145">
        <f t="shared" si="23"/>
        <v>282</v>
      </c>
      <c r="H33" s="145">
        <f t="shared" si="23"/>
        <v>282</v>
      </c>
      <c r="I33" s="145">
        <f t="shared" si="23"/>
        <v>84.6</v>
      </c>
      <c r="J33" s="145">
        <f t="shared" si="23"/>
        <v>84.6</v>
      </c>
      <c r="K33" s="145">
        <f t="shared" si="23"/>
        <v>0</v>
      </c>
      <c r="L33" s="145">
        <f t="shared" si="23"/>
        <v>366.6</v>
      </c>
      <c r="N33" s="145">
        <f t="shared" ref="N33:Q33" si="24">N11*$X$15</f>
        <v>958.8</v>
      </c>
      <c r="O33" s="145">
        <f t="shared" si="24"/>
        <v>84.6</v>
      </c>
      <c r="P33" s="145">
        <f t="shared" si="24"/>
        <v>1297.2</v>
      </c>
      <c r="Q33" s="145">
        <f t="shared" si="24"/>
        <v>676.8</v>
      </c>
      <c r="S33" s="145">
        <f t="shared" ref="S33:U33" si="25">S11*$X$15</f>
        <v>282</v>
      </c>
      <c r="T33" s="145">
        <f t="shared" si="25"/>
        <v>1663.8</v>
      </c>
      <c r="U33" s="145">
        <f t="shared" si="25"/>
        <v>902.4</v>
      </c>
    </row>
    <row r="34" ht="15.75" customHeight="1">
      <c r="A34" s="381" t="s">
        <v>455</v>
      </c>
      <c r="B34" s="145">
        <f t="shared" ref="B34:L34" si="26">B12*$X$16</f>
        <v>71.7</v>
      </c>
      <c r="C34" s="145">
        <f t="shared" si="26"/>
        <v>0</v>
      </c>
      <c r="D34" s="145">
        <f t="shared" si="26"/>
        <v>1075.5</v>
      </c>
      <c r="E34" s="145">
        <f t="shared" si="26"/>
        <v>10707.2</v>
      </c>
      <c r="F34" s="145">
        <f t="shared" si="26"/>
        <v>549.7</v>
      </c>
      <c r="G34" s="145">
        <f t="shared" si="26"/>
        <v>310.7</v>
      </c>
      <c r="H34" s="145">
        <f t="shared" si="26"/>
        <v>310.7</v>
      </c>
      <c r="I34" s="145">
        <f t="shared" si="26"/>
        <v>71.7</v>
      </c>
      <c r="J34" s="145">
        <f t="shared" si="26"/>
        <v>0</v>
      </c>
      <c r="K34" s="145">
        <f t="shared" si="26"/>
        <v>0</v>
      </c>
      <c r="L34" s="145">
        <f t="shared" si="26"/>
        <v>501.9</v>
      </c>
      <c r="N34" s="145">
        <f t="shared" ref="N34:Q34" si="27">N12*$X$16</f>
        <v>1171.1</v>
      </c>
      <c r="O34" s="145">
        <f t="shared" si="27"/>
        <v>71.7</v>
      </c>
      <c r="P34" s="145">
        <f t="shared" si="27"/>
        <v>1649.1</v>
      </c>
      <c r="Q34" s="145">
        <f t="shared" si="27"/>
        <v>1003.8</v>
      </c>
      <c r="S34" s="145">
        <f t="shared" ref="S34:U34" si="28">S12*$X$16</f>
        <v>334.6</v>
      </c>
      <c r="T34" s="145">
        <f t="shared" si="28"/>
        <v>2151</v>
      </c>
      <c r="U34" s="145">
        <f t="shared" si="28"/>
        <v>1099.4</v>
      </c>
    </row>
    <row r="35" ht="15.75" customHeight="1">
      <c r="A35" s="381" t="s">
        <v>456</v>
      </c>
      <c r="B35" s="145">
        <f t="shared" ref="B35:L35" si="29">B13*$X$17</f>
        <v>59.4</v>
      </c>
      <c r="C35" s="145">
        <f t="shared" si="29"/>
        <v>0</v>
      </c>
      <c r="D35" s="145">
        <f t="shared" si="29"/>
        <v>1861.2</v>
      </c>
      <c r="E35" s="145">
        <f t="shared" si="29"/>
        <v>17839.8</v>
      </c>
      <c r="F35" s="145">
        <f t="shared" si="29"/>
        <v>752.4</v>
      </c>
      <c r="G35" s="145">
        <f t="shared" si="29"/>
        <v>336.6</v>
      </c>
      <c r="H35" s="145">
        <f t="shared" si="29"/>
        <v>336.6</v>
      </c>
      <c r="I35" s="145">
        <f t="shared" si="29"/>
        <v>178.2</v>
      </c>
      <c r="J35" s="145">
        <f t="shared" si="29"/>
        <v>118.8</v>
      </c>
      <c r="K35" s="145">
        <f t="shared" si="29"/>
        <v>0</v>
      </c>
      <c r="L35" s="145">
        <f t="shared" si="29"/>
        <v>653.4</v>
      </c>
      <c r="N35" s="145">
        <f t="shared" ref="N35:Q35" si="30">N13*$X$17</f>
        <v>1425.6</v>
      </c>
      <c r="O35" s="145">
        <f t="shared" si="30"/>
        <v>59.4</v>
      </c>
      <c r="P35" s="145">
        <f t="shared" si="30"/>
        <v>2950.2</v>
      </c>
      <c r="Q35" s="145">
        <f t="shared" si="30"/>
        <v>1782</v>
      </c>
      <c r="S35" s="145">
        <f t="shared" ref="S35:U35" si="31">S13*$X$17</f>
        <v>633.6</v>
      </c>
      <c r="T35" s="145">
        <f t="shared" si="31"/>
        <v>3643.2</v>
      </c>
      <c r="U35" s="145">
        <f t="shared" si="31"/>
        <v>1762.2</v>
      </c>
    </row>
    <row r="36" ht="15.75" customHeight="1">
      <c r="A36" s="381" t="s">
        <v>457</v>
      </c>
      <c r="B36" s="145">
        <f t="shared" ref="B36:L36" si="32">B14*$X$18</f>
        <v>128.8</v>
      </c>
      <c r="C36" s="145">
        <f t="shared" si="32"/>
        <v>0</v>
      </c>
      <c r="D36" s="145">
        <f t="shared" si="32"/>
        <v>3525.9</v>
      </c>
      <c r="E36" s="145">
        <f t="shared" si="32"/>
        <v>21557.9</v>
      </c>
      <c r="F36" s="145">
        <f t="shared" si="32"/>
        <v>1271.9</v>
      </c>
      <c r="G36" s="145">
        <f t="shared" si="32"/>
        <v>660.1</v>
      </c>
      <c r="H36" s="145">
        <f t="shared" si="32"/>
        <v>660.1</v>
      </c>
      <c r="I36" s="145">
        <f t="shared" si="32"/>
        <v>112.7</v>
      </c>
      <c r="J36" s="145">
        <f t="shared" si="32"/>
        <v>225.4</v>
      </c>
      <c r="K36" s="145">
        <f t="shared" si="32"/>
        <v>0</v>
      </c>
      <c r="L36" s="145">
        <f t="shared" si="32"/>
        <v>853.3</v>
      </c>
      <c r="N36" s="145">
        <f t="shared" ref="N36:Q36" si="33">N14*$X$18</f>
        <v>1948.1</v>
      </c>
      <c r="O36" s="145">
        <f t="shared" si="33"/>
        <v>48.3</v>
      </c>
      <c r="P36" s="145">
        <f t="shared" si="33"/>
        <v>3397.1</v>
      </c>
      <c r="Q36" s="145">
        <f t="shared" si="33"/>
        <v>3284.4</v>
      </c>
      <c r="S36" s="145">
        <f t="shared" ref="S36:U36" si="34">S14*$X$18</f>
        <v>901.6</v>
      </c>
      <c r="T36" s="145">
        <f t="shared" si="34"/>
        <v>4298.7</v>
      </c>
      <c r="U36" s="145">
        <f t="shared" si="34"/>
        <v>2447.2</v>
      </c>
    </row>
    <row r="37" ht="15.75" customHeight="1">
      <c r="A37" s="381" t="s">
        <v>458</v>
      </c>
      <c r="B37" s="145">
        <f t="shared" ref="B37:L37" si="35">B15*$X$19</f>
        <v>77.4</v>
      </c>
      <c r="C37" s="145">
        <f t="shared" si="35"/>
        <v>0</v>
      </c>
      <c r="D37" s="145">
        <f t="shared" si="35"/>
        <v>3728.1</v>
      </c>
      <c r="E37" s="145">
        <f t="shared" si="35"/>
        <v>22665.3</v>
      </c>
      <c r="F37" s="145">
        <f t="shared" si="35"/>
        <v>1328.7</v>
      </c>
      <c r="G37" s="145">
        <f t="shared" si="35"/>
        <v>567.6</v>
      </c>
      <c r="H37" s="145">
        <f t="shared" si="35"/>
        <v>567.6</v>
      </c>
      <c r="I37" s="145">
        <f t="shared" si="35"/>
        <v>64.5</v>
      </c>
      <c r="J37" s="145">
        <f t="shared" si="35"/>
        <v>258</v>
      </c>
      <c r="K37" s="145">
        <f t="shared" si="35"/>
        <v>38.7</v>
      </c>
      <c r="L37" s="145">
        <f t="shared" si="35"/>
        <v>851.4</v>
      </c>
      <c r="N37" s="145">
        <f t="shared" ref="N37:Q37" si="36">N15*$X$19</f>
        <v>1883.4</v>
      </c>
      <c r="O37" s="145">
        <f t="shared" si="36"/>
        <v>38.7</v>
      </c>
      <c r="P37" s="145">
        <f t="shared" si="36"/>
        <v>2941.2</v>
      </c>
      <c r="Q37" s="145">
        <f t="shared" si="36"/>
        <v>2928.3</v>
      </c>
      <c r="S37" s="145">
        <f t="shared" ref="S37:U37" si="37">S15*$X$19</f>
        <v>567.6</v>
      </c>
      <c r="T37" s="145">
        <f t="shared" si="37"/>
        <v>4721.4</v>
      </c>
      <c r="U37" s="145">
        <f t="shared" si="37"/>
        <v>2747.7</v>
      </c>
    </row>
    <row r="38" ht="15.75" customHeight="1">
      <c r="A38" s="381" t="s">
        <v>593</v>
      </c>
      <c r="B38" s="145">
        <f t="shared" ref="B38:L38" si="38">B16*$X$20</f>
        <v>50</v>
      </c>
      <c r="C38" s="145">
        <f t="shared" si="38"/>
        <v>0</v>
      </c>
      <c r="D38" s="145">
        <f t="shared" si="38"/>
        <v>2350</v>
      </c>
      <c r="E38" s="145">
        <f t="shared" si="38"/>
        <v>17000</v>
      </c>
      <c r="F38" s="145">
        <f t="shared" si="38"/>
        <v>850</v>
      </c>
      <c r="G38" s="145">
        <f t="shared" si="38"/>
        <v>340</v>
      </c>
      <c r="H38" s="145">
        <f t="shared" si="38"/>
        <v>340</v>
      </c>
      <c r="I38" s="145">
        <f t="shared" si="38"/>
        <v>0</v>
      </c>
      <c r="J38" s="145">
        <f t="shared" si="38"/>
        <v>130</v>
      </c>
      <c r="K38" s="145">
        <f t="shared" si="38"/>
        <v>0</v>
      </c>
      <c r="L38" s="145">
        <f t="shared" si="38"/>
        <v>510</v>
      </c>
      <c r="N38" s="145">
        <f t="shared" ref="N38:Q38" si="39">N16*$X$20</f>
        <v>1090</v>
      </c>
      <c r="O38" s="145">
        <f t="shared" si="39"/>
        <v>30</v>
      </c>
      <c r="P38" s="145">
        <f t="shared" si="39"/>
        <v>1620</v>
      </c>
      <c r="Q38" s="145">
        <f t="shared" si="39"/>
        <v>2120</v>
      </c>
      <c r="S38" s="145">
        <f t="shared" ref="S38:U38" si="40">S16*$X$20</f>
        <v>590</v>
      </c>
      <c r="T38" s="145">
        <f t="shared" si="40"/>
        <v>3730</v>
      </c>
      <c r="U38" s="145">
        <f t="shared" si="40"/>
        <v>2020</v>
      </c>
    </row>
    <row r="39" ht="15.75" customHeight="1">
      <c r="A39" s="381" t="s">
        <v>594</v>
      </c>
      <c r="B39" s="145">
        <f t="shared" ref="B39:L39" si="41">B17*$X$21</f>
        <v>88.8</v>
      </c>
      <c r="C39" s="145">
        <f t="shared" si="41"/>
        <v>0</v>
      </c>
      <c r="D39" s="145">
        <f t="shared" si="41"/>
        <v>1961</v>
      </c>
      <c r="E39" s="145">
        <f t="shared" si="41"/>
        <v>13031.4</v>
      </c>
      <c r="F39" s="145">
        <f t="shared" si="41"/>
        <v>577.2</v>
      </c>
      <c r="G39" s="145">
        <f t="shared" si="41"/>
        <v>185</v>
      </c>
      <c r="H39" s="145">
        <f t="shared" si="41"/>
        <v>185</v>
      </c>
      <c r="I39" s="145">
        <f t="shared" si="41"/>
        <v>0</v>
      </c>
      <c r="J39" s="145">
        <f t="shared" si="41"/>
        <v>199.8</v>
      </c>
      <c r="K39" s="145">
        <f t="shared" si="41"/>
        <v>0</v>
      </c>
      <c r="L39" s="145">
        <f t="shared" si="41"/>
        <v>488.4</v>
      </c>
      <c r="N39" s="145">
        <f t="shared" ref="N39:Q39" si="42">N17*$X$21</f>
        <v>525.4</v>
      </c>
      <c r="O39" s="145">
        <f t="shared" si="42"/>
        <v>22.2</v>
      </c>
      <c r="P39" s="145">
        <f t="shared" si="42"/>
        <v>732.6</v>
      </c>
      <c r="Q39" s="145">
        <f t="shared" si="42"/>
        <v>1206.2</v>
      </c>
      <c r="S39" s="145">
        <f t="shared" ref="S39:U39" si="43">S17*$X$21</f>
        <v>207.2</v>
      </c>
      <c r="T39" s="145">
        <f t="shared" si="43"/>
        <v>2960</v>
      </c>
      <c r="U39" s="145">
        <f t="shared" si="43"/>
        <v>1561.4</v>
      </c>
    </row>
    <row r="40" ht="15.75" customHeight="1">
      <c r="A40" s="381" t="s">
        <v>595</v>
      </c>
      <c r="B40" s="145">
        <f t="shared" ref="B40:L40" si="44">B18*$X$22</f>
        <v>26</v>
      </c>
      <c r="C40" s="145">
        <f t="shared" si="44"/>
        <v>15.6</v>
      </c>
      <c r="D40" s="145">
        <f t="shared" si="44"/>
        <v>1404</v>
      </c>
      <c r="E40" s="145">
        <f t="shared" si="44"/>
        <v>10041.2</v>
      </c>
      <c r="F40" s="145">
        <f t="shared" si="44"/>
        <v>275.6</v>
      </c>
      <c r="G40" s="145">
        <f t="shared" si="44"/>
        <v>62.4</v>
      </c>
      <c r="H40" s="145">
        <f t="shared" si="44"/>
        <v>62.4</v>
      </c>
      <c r="I40" s="145">
        <f t="shared" si="44"/>
        <v>0</v>
      </c>
      <c r="J40" s="145">
        <f t="shared" si="44"/>
        <v>130</v>
      </c>
      <c r="K40" s="145">
        <f t="shared" si="44"/>
        <v>0</v>
      </c>
      <c r="L40" s="145">
        <f t="shared" si="44"/>
        <v>213.2</v>
      </c>
      <c r="N40" s="145">
        <f t="shared" ref="N40:Q40" si="45">N18*$X$22</f>
        <v>317.2</v>
      </c>
      <c r="O40" s="145">
        <f t="shared" si="45"/>
        <v>15.6</v>
      </c>
      <c r="P40" s="145">
        <f t="shared" si="45"/>
        <v>254.8</v>
      </c>
      <c r="Q40" s="145">
        <f t="shared" si="45"/>
        <v>540.8</v>
      </c>
      <c r="S40" s="145">
        <f t="shared" ref="S40:U40" si="46">S18*$X$22</f>
        <v>140.4</v>
      </c>
      <c r="T40" s="145">
        <f t="shared" si="46"/>
        <v>2033.2</v>
      </c>
      <c r="U40" s="145">
        <f t="shared" si="46"/>
        <v>1253.2</v>
      </c>
    </row>
    <row r="41" ht="15.75" customHeight="1">
      <c r="A41" s="381" t="s">
        <v>596</v>
      </c>
      <c r="B41" s="145">
        <f t="shared" ref="B41:L41" si="47">B19*$X$23</f>
        <v>0</v>
      </c>
      <c r="C41" s="145">
        <f t="shared" si="47"/>
        <v>0</v>
      </c>
      <c r="D41" s="145">
        <f t="shared" si="47"/>
        <v>0</v>
      </c>
      <c r="E41" s="145">
        <f t="shared" si="47"/>
        <v>0</v>
      </c>
      <c r="F41" s="145">
        <f t="shared" si="47"/>
        <v>0</v>
      </c>
      <c r="G41" s="145">
        <f t="shared" si="47"/>
        <v>0</v>
      </c>
      <c r="H41" s="145">
        <f t="shared" si="47"/>
        <v>0</v>
      </c>
      <c r="I41" s="145">
        <f t="shared" si="47"/>
        <v>0</v>
      </c>
      <c r="J41" s="145">
        <f t="shared" si="47"/>
        <v>0</v>
      </c>
      <c r="K41" s="145">
        <f t="shared" si="47"/>
        <v>0</v>
      </c>
      <c r="L41" s="145">
        <f t="shared" si="47"/>
        <v>0</v>
      </c>
      <c r="N41" s="145">
        <f t="shared" ref="N41:Q41" si="48">N19*$X$23</f>
        <v>0</v>
      </c>
      <c r="O41" s="145">
        <f t="shared" si="48"/>
        <v>0</v>
      </c>
      <c r="P41" s="145">
        <f t="shared" si="48"/>
        <v>0</v>
      </c>
      <c r="Q41" s="145">
        <f t="shared" si="48"/>
        <v>0</v>
      </c>
      <c r="S41" s="145">
        <f t="shared" ref="S41:U41" si="49">S19*$X$23</f>
        <v>0</v>
      </c>
      <c r="T41" s="145">
        <f t="shared" si="49"/>
        <v>0</v>
      </c>
      <c r="U41" s="145">
        <f t="shared" si="49"/>
        <v>0</v>
      </c>
    </row>
    <row r="42" ht="15.75" customHeight="1">
      <c r="A42" s="381" t="s">
        <v>597</v>
      </c>
      <c r="B42" s="145">
        <f t="shared" ref="B42:L42" si="50">B20*$X$24</f>
        <v>0</v>
      </c>
      <c r="C42" s="145">
        <f t="shared" si="50"/>
        <v>0</v>
      </c>
      <c r="D42" s="145">
        <f t="shared" si="50"/>
        <v>0</v>
      </c>
      <c r="E42" s="145">
        <f t="shared" si="50"/>
        <v>0</v>
      </c>
      <c r="F42" s="145">
        <f t="shared" si="50"/>
        <v>0</v>
      </c>
      <c r="G42" s="145">
        <f t="shared" si="50"/>
        <v>0</v>
      </c>
      <c r="H42" s="145">
        <f t="shared" si="50"/>
        <v>0</v>
      </c>
      <c r="I42" s="145">
        <f t="shared" si="50"/>
        <v>0</v>
      </c>
      <c r="J42" s="145">
        <f t="shared" si="50"/>
        <v>0</v>
      </c>
      <c r="K42" s="145">
        <f t="shared" si="50"/>
        <v>0</v>
      </c>
      <c r="L42" s="145">
        <f t="shared" si="50"/>
        <v>0</v>
      </c>
      <c r="N42" s="145">
        <f t="shared" ref="N42:Q42" si="51">N20*$X$24</f>
        <v>0</v>
      </c>
      <c r="O42" s="145">
        <f t="shared" si="51"/>
        <v>0</v>
      </c>
      <c r="P42" s="145">
        <f t="shared" si="51"/>
        <v>0</v>
      </c>
      <c r="Q42" s="145">
        <f t="shared" si="51"/>
        <v>0</v>
      </c>
      <c r="S42" s="145">
        <f t="shared" ref="S42:U42" si="52">S20*$X$24</f>
        <v>0</v>
      </c>
      <c r="T42" s="145">
        <f t="shared" si="52"/>
        <v>0</v>
      </c>
      <c r="U42" s="145">
        <f t="shared" si="52"/>
        <v>0</v>
      </c>
    </row>
    <row r="43" ht="15.75" customHeight="1">
      <c r="A43" s="13" t="s">
        <v>68</v>
      </c>
      <c r="B43" s="13">
        <f t="shared" ref="B43:L43" si="53">SUM(B26:B42)</f>
        <v>713</v>
      </c>
      <c r="C43" s="13">
        <f t="shared" si="53"/>
        <v>15.6</v>
      </c>
      <c r="D43" s="13">
        <f t="shared" si="53"/>
        <v>17175.7</v>
      </c>
      <c r="E43" s="13">
        <f t="shared" si="53"/>
        <v>129671.6</v>
      </c>
      <c r="F43" s="13">
        <f t="shared" si="53"/>
        <v>6830.3</v>
      </c>
      <c r="G43" s="13">
        <f t="shared" si="53"/>
        <v>4158.6</v>
      </c>
      <c r="H43" s="13">
        <f t="shared" si="53"/>
        <v>4158.6</v>
      </c>
      <c r="I43" s="13">
        <f t="shared" si="53"/>
        <v>876.8</v>
      </c>
      <c r="J43" s="13">
        <f t="shared" si="53"/>
        <v>1540.5</v>
      </c>
      <c r="K43" s="13">
        <f t="shared" si="53"/>
        <v>38.7</v>
      </c>
      <c r="L43" s="13">
        <f t="shared" si="53"/>
        <v>5369.1</v>
      </c>
      <c r="M43" s="13"/>
      <c r="N43" s="13">
        <f t="shared" ref="N43:Q43" si="54">SUM(N26:N42)</f>
        <v>10452.5</v>
      </c>
      <c r="O43" s="13">
        <f t="shared" si="54"/>
        <v>468.6</v>
      </c>
      <c r="P43" s="13">
        <f t="shared" si="54"/>
        <v>16202.1</v>
      </c>
      <c r="Q43" s="13">
        <f t="shared" si="54"/>
        <v>15302.3</v>
      </c>
      <c r="R43" s="13"/>
      <c r="S43" s="13">
        <f t="shared" ref="S43:U43" si="55">SUM(S26:S42)</f>
        <v>4059</v>
      </c>
      <c r="T43" s="13">
        <f t="shared" si="55"/>
        <v>27874.5</v>
      </c>
      <c r="U43" s="13">
        <f t="shared" si="55"/>
        <v>14443.7</v>
      </c>
    </row>
    <row r="44" ht="15.75" customHeight="1"/>
    <row r="45" ht="15.75" customHeight="1">
      <c r="A45" s="499" t="s">
        <v>601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</row>
    <row r="46" ht="15.75" customHeight="1">
      <c r="A46" s="210" t="s">
        <v>468</v>
      </c>
      <c r="B46" s="500" t="s">
        <v>288</v>
      </c>
      <c r="C46" s="500" t="s">
        <v>405</v>
      </c>
      <c r="D46" s="500" t="s">
        <v>469</v>
      </c>
      <c r="E46" s="500" t="s">
        <v>294</v>
      </c>
      <c r="F46" s="500" t="s">
        <v>296</v>
      </c>
      <c r="G46" s="500" t="s">
        <v>298</v>
      </c>
      <c r="H46" s="500" t="s">
        <v>300</v>
      </c>
      <c r="I46" s="500" t="s">
        <v>89</v>
      </c>
      <c r="J46" s="500" t="s">
        <v>303</v>
      </c>
      <c r="K46" s="500" t="s">
        <v>470</v>
      </c>
      <c r="L46" s="500" t="s">
        <v>307</v>
      </c>
      <c r="M46" s="500" t="s">
        <v>406</v>
      </c>
      <c r="N46" s="500" t="s">
        <v>311</v>
      </c>
      <c r="O46" s="500" t="s">
        <v>313</v>
      </c>
      <c r="P46" s="500" t="s">
        <v>315</v>
      </c>
      <c r="Q46" s="500" t="s">
        <v>407</v>
      </c>
      <c r="R46" s="500" t="s">
        <v>319</v>
      </c>
      <c r="S46" s="500" t="s">
        <v>321</v>
      </c>
      <c r="T46" s="500" t="s">
        <v>323</v>
      </c>
      <c r="U46" s="478" t="s">
        <v>408</v>
      </c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</row>
    <row r="47" ht="15.75" customHeight="1">
      <c r="A47" s="380" t="s">
        <v>447</v>
      </c>
      <c r="B47" s="378">
        <f t="shared" ref="B47:L47" si="56">B4*($X$27-17.5)</f>
        <v>0</v>
      </c>
      <c r="C47" s="378">
        <f t="shared" si="56"/>
        <v>0</v>
      </c>
      <c r="D47" s="378">
        <f t="shared" si="56"/>
        <v>0</v>
      </c>
      <c r="E47" s="378">
        <f t="shared" si="56"/>
        <v>0</v>
      </c>
      <c r="F47" s="378">
        <f t="shared" si="56"/>
        <v>0</v>
      </c>
      <c r="G47" s="378">
        <f t="shared" si="56"/>
        <v>0</v>
      </c>
      <c r="H47" s="378">
        <f t="shared" si="56"/>
        <v>0</v>
      </c>
      <c r="I47" s="378">
        <f t="shared" si="56"/>
        <v>0</v>
      </c>
      <c r="J47" s="378">
        <f t="shared" si="56"/>
        <v>0</v>
      </c>
      <c r="K47" s="378">
        <f t="shared" si="56"/>
        <v>0</v>
      </c>
      <c r="L47" s="378">
        <f t="shared" si="56"/>
        <v>0</v>
      </c>
      <c r="M47" s="378"/>
      <c r="N47" s="378">
        <f t="shared" ref="N47:Q47" si="57">N4*($X$27-17.5)</f>
        <v>137.1</v>
      </c>
      <c r="O47" s="378">
        <f t="shared" si="57"/>
        <v>0</v>
      </c>
      <c r="P47" s="378">
        <f t="shared" si="57"/>
        <v>0</v>
      </c>
      <c r="Q47" s="378">
        <f t="shared" si="57"/>
        <v>0</v>
      </c>
      <c r="R47" s="378"/>
      <c r="S47" s="378">
        <f t="shared" ref="S47:U47" si="58">S4*($X$27-17.5)</f>
        <v>0</v>
      </c>
      <c r="T47" s="378">
        <f t="shared" si="58"/>
        <v>137.1</v>
      </c>
      <c r="U47" s="378">
        <f t="shared" si="58"/>
        <v>0</v>
      </c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</row>
    <row r="48" ht="15.75" customHeight="1">
      <c r="A48" s="380" t="s">
        <v>448</v>
      </c>
      <c r="B48" s="378">
        <f t="shared" ref="B48:L48" si="59">B5*($X$27-22.5)</f>
        <v>0</v>
      </c>
      <c r="C48" s="378">
        <f t="shared" si="59"/>
        <v>0</v>
      </c>
      <c r="D48" s="378">
        <f t="shared" si="59"/>
        <v>0</v>
      </c>
      <c r="E48" s="378">
        <f t="shared" si="59"/>
        <v>0</v>
      </c>
      <c r="F48" s="378">
        <f t="shared" si="59"/>
        <v>122.1</v>
      </c>
      <c r="G48" s="378">
        <f t="shared" si="59"/>
        <v>122.1</v>
      </c>
      <c r="H48" s="378">
        <f t="shared" si="59"/>
        <v>122.1</v>
      </c>
      <c r="I48" s="378">
        <f t="shared" si="59"/>
        <v>0</v>
      </c>
      <c r="J48" s="378">
        <f t="shared" si="59"/>
        <v>122.1</v>
      </c>
      <c r="K48" s="378">
        <f t="shared" si="59"/>
        <v>0</v>
      </c>
      <c r="L48" s="378">
        <f t="shared" si="59"/>
        <v>0</v>
      </c>
      <c r="M48" s="378"/>
      <c r="N48" s="378">
        <f t="shared" ref="N48:Q48" si="60">N5*($X$27-22.5)</f>
        <v>0</v>
      </c>
      <c r="O48" s="378">
        <f t="shared" si="60"/>
        <v>0</v>
      </c>
      <c r="P48" s="378">
        <f t="shared" si="60"/>
        <v>0</v>
      </c>
      <c r="Q48" s="378">
        <f t="shared" si="60"/>
        <v>122.1</v>
      </c>
      <c r="R48" s="378"/>
      <c r="S48" s="378">
        <f t="shared" ref="S48:U48" si="61">S5*($X$27-22.5)</f>
        <v>0</v>
      </c>
      <c r="T48" s="378">
        <f t="shared" si="61"/>
        <v>122.1</v>
      </c>
      <c r="U48" s="378">
        <f t="shared" si="61"/>
        <v>0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</row>
    <row r="49" ht="15.75" customHeight="1">
      <c r="A49" s="380" t="s">
        <v>449</v>
      </c>
      <c r="B49" s="378">
        <f t="shared" ref="B49:L49" si="62">B6*($X$27-27.5)</f>
        <v>0</v>
      </c>
      <c r="C49" s="378">
        <f t="shared" si="62"/>
        <v>0</v>
      </c>
      <c r="D49" s="378">
        <f t="shared" si="62"/>
        <v>107.1</v>
      </c>
      <c r="E49" s="378">
        <f t="shared" si="62"/>
        <v>107.1</v>
      </c>
      <c r="F49" s="378">
        <f t="shared" si="62"/>
        <v>178.5</v>
      </c>
      <c r="G49" s="378">
        <f t="shared" si="62"/>
        <v>107.1</v>
      </c>
      <c r="H49" s="378">
        <f t="shared" si="62"/>
        <v>107.1</v>
      </c>
      <c r="I49" s="378">
        <f t="shared" si="62"/>
        <v>0</v>
      </c>
      <c r="J49" s="378">
        <f t="shared" si="62"/>
        <v>0</v>
      </c>
      <c r="K49" s="378">
        <f t="shared" si="62"/>
        <v>0</v>
      </c>
      <c r="L49" s="378">
        <f t="shared" si="62"/>
        <v>107.1</v>
      </c>
      <c r="M49" s="378"/>
      <c r="N49" s="378">
        <f t="shared" ref="N49:Q49" si="63">N6*($X$27-27.5)</f>
        <v>0</v>
      </c>
      <c r="O49" s="378">
        <f t="shared" si="63"/>
        <v>0</v>
      </c>
      <c r="P49" s="378">
        <f t="shared" si="63"/>
        <v>0</v>
      </c>
      <c r="Q49" s="378">
        <f t="shared" si="63"/>
        <v>107.1</v>
      </c>
      <c r="R49" s="378"/>
      <c r="S49" s="378">
        <f t="shared" ref="S49:U49" si="64">S6*($X$27-27.5)</f>
        <v>0</v>
      </c>
      <c r="T49" s="378">
        <f t="shared" si="64"/>
        <v>107.1</v>
      </c>
      <c r="U49" s="378">
        <f t="shared" si="64"/>
        <v>0</v>
      </c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</row>
    <row r="50" ht="15.75" customHeight="1">
      <c r="A50" s="380" t="s">
        <v>450</v>
      </c>
      <c r="B50" s="378">
        <f t="shared" ref="B50:L50" si="65">B7*($X$27-32.5)</f>
        <v>0</v>
      </c>
      <c r="C50" s="378">
        <f t="shared" si="65"/>
        <v>0</v>
      </c>
      <c r="D50" s="378">
        <f t="shared" si="65"/>
        <v>92.1</v>
      </c>
      <c r="E50" s="378">
        <f t="shared" si="65"/>
        <v>153.5</v>
      </c>
      <c r="F50" s="378">
        <f t="shared" si="65"/>
        <v>0</v>
      </c>
      <c r="G50" s="378">
        <f t="shared" si="65"/>
        <v>92.1</v>
      </c>
      <c r="H50" s="378">
        <f t="shared" si="65"/>
        <v>92.1</v>
      </c>
      <c r="I50" s="378">
        <f t="shared" si="65"/>
        <v>92.1</v>
      </c>
      <c r="J50" s="378">
        <f t="shared" si="65"/>
        <v>0</v>
      </c>
      <c r="K50" s="378">
        <f t="shared" si="65"/>
        <v>0</v>
      </c>
      <c r="L50" s="378">
        <f t="shared" si="65"/>
        <v>0</v>
      </c>
      <c r="M50" s="378"/>
      <c r="N50" s="378">
        <f t="shared" ref="N50:Q50" si="66">N7*($X$27-32.5)</f>
        <v>0</v>
      </c>
      <c r="O50" s="378">
        <f t="shared" si="66"/>
        <v>0</v>
      </c>
      <c r="P50" s="378">
        <f t="shared" si="66"/>
        <v>0</v>
      </c>
      <c r="Q50" s="378">
        <f t="shared" si="66"/>
        <v>92.1</v>
      </c>
      <c r="R50" s="378"/>
      <c r="S50" s="378">
        <f t="shared" ref="S50:U50" si="67">S7*($X$27-32.5)</f>
        <v>0</v>
      </c>
      <c r="T50" s="378">
        <f t="shared" si="67"/>
        <v>92.1</v>
      </c>
      <c r="U50" s="378">
        <f t="shared" si="67"/>
        <v>92.1</v>
      </c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</row>
    <row r="51" ht="15.75" customHeight="1">
      <c r="A51" s="380" t="s">
        <v>451</v>
      </c>
      <c r="B51" s="378">
        <f t="shared" ref="B51:L51" si="68">B8*($X$27-37.5)</f>
        <v>77.1</v>
      </c>
      <c r="C51" s="378">
        <f t="shared" si="68"/>
        <v>0</v>
      </c>
      <c r="D51" s="378">
        <f t="shared" si="68"/>
        <v>77.1</v>
      </c>
      <c r="E51" s="378">
        <f t="shared" si="68"/>
        <v>693.9</v>
      </c>
      <c r="F51" s="378">
        <f t="shared" si="68"/>
        <v>77.1</v>
      </c>
      <c r="G51" s="378">
        <f t="shared" si="68"/>
        <v>128.5</v>
      </c>
      <c r="H51" s="378">
        <f t="shared" si="68"/>
        <v>128.5</v>
      </c>
      <c r="I51" s="378">
        <f t="shared" si="68"/>
        <v>77.1</v>
      </c>
      <c r="J51" s="378">
        <f t="shared" si="68"/>
        <v>77.1</v>
      </c>
      <c r="K51" s="378">
        <f t="shared" si="68"/>
        <v>0</v>
      </c>
      <c r="L51" s="378">
        <f t="shared" si="68"/>
        <v>77.1</v>
      </c>
      <c r="M51" s="378"/>
      <c r="N51" s="378">
        <f t="shared" ref="N51:Q51" si="69">N8*($X$27-37.5)</f>
        <v>77.1</v>
      </c>
      <c r="O51" s="378">
        <f t="shared" si="69"/>
        <v>0</v>
      </c>
      <c r="P51" s="378">
        <f t="shared" si="69"/>
        <v>77.1</v>
      </c>
      <c r="Q51" s="378">
        <f t="shared" si="69"/>
        <v>179.9</v>
      </c>
      <c r="R51" s="378"/>
      <c r="S51" s="378">
        <f t="shared" ref="S51:U51" si="70">S8*($X$27-37.5)</f>
        <v>77.1</v>
      </c>
      <c r="T51" s="378">
        <f t="shared" si="70"/>
        <v>257</v>
      </c>
      <c r="U51" s="378">
        <f t="shared" si="70"/>
        <v>77.1</v>
      </c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</row>
    <row r="52" ht="15.75" customHeight="1">
      <c r="A52" s="380" t="s">
        <v>452</v>
      </c>
      <c r="B52" s="378">
        <f t="shared" ref="B52:L52" si="71">B9*($X$27-42.5)</f>
        <v>0</v>
      </c>
      <c r="C52" s="378">
        <f t="shared" si="71"/>
        <v>0</v>
      </c>
      <c r="D52" s="378">
        <f t="shared" si="71"/>
        <v>103.5</v>
      </c>
      <c r="E52" s="378">
        <f t="shared" si="71"/>
        <v>1656</v>
      </c>
      <c r="F52" s="378">
        <f t="shared" si="71"/>
        <v>62.1</v>
      </c>
      <c r="G52" s="378">
        <f t="shared" si="71"/>
        <v>227.7</v>
      </c>
      <c r="H52" s="378">
        <f t="shared" si="71"/>
        <v>227.7</v>
      </c>
      <c r="I52" s="378">
        <f t="shared" si="71"/>
        <v>0</v>
      </c>
      <c r="J52" s="378">
        <f t="shared" si="71"/>
        <v>0</v>
      </c>
      <c r="K52" s="378">
        <f t="shared" si="71"/>
        <v>0</v>
      </c>
      <c r="L52" s="378">
        <f t="shared" si="71"/>
        <v>124.2</v>
      </c>
      <c r="M52" s="378"/>
      <c r="N52" s="378">
        <f t="shared" ref="N52:Q52" si="72">N9*($X$27-42.5)</f>
        <v>165.6</v>
      </c>
      <c r="O52" s="378">
        <f t="shared" si="72"/>
        <v>0</v>
      </c>
      <c r="P52" s="378">
        <f t="shared" si="72"/>
        <v>248.4</v>
      </c>
      <c r="Q52" s="378">
        <f t="shared" si="72"/>
        <v>227.7</v>
      </c>
      <c r="R52" s="378"/>
      <c r="S52" s="378">
        <f t="shared" ref="S52:U52" si="73">S9*($X$27-42.5)</f>
        <v>62.1</v>
      </c>
      <c r="T52" s="378">
        <f t="shared" si="73"/>
        <v>289.8</v>
      </c>
      <c r="U52" s="378">
        <f t="shared" si="73"/>
        <v>103.5</v>
      </c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</row>
    <row r="53" ht="15.75" customHeight="1">
      <c r="A53" s="380" t="s">
        <v>453</v>
      </c>
      <c r="B53" s="378">
        <f t="shared" ref="B53:L53" si="74">B10*($X$27-47.5)</f>
        <v>0</v>
      </c>
      <c r="C53" s="378">
        <f t="shared" si="74"/>
        <v>0</v>
      </c>
      <c r="D53" s="378">
        <f t="shared" si="74"/>
        <v>141.3</v>
      </c>
      <c r="E53" s="378">
        <f t="shared" si="74"/>
        <v>2119.5</v>
      </c>
      <c r="F53" s="378">
        <f t="shared" si="74"/>
        <v>78.5</v>
      </c>
      <c r="G53" s="378">
        <f t="shared" si="74"/>
        <v>157</v>
      </c>
      <c r="H53" s="378">
        <f t="shared" si="74"/>
        <v>157</v>
      </c>
      <c r="I53" s="378">
        <f t="shared" si="74"/>
        <v>47.1</v>
      </c>
      <c r="J53" s="378">
        <f t="shared" si="74"/>
        <v>47.1</v>
      </c>
      <c r="K53" s="378">
        <f t="shared" si="74"/>
        <v>0</v>
      </c>
      <c r="L53" s="378">
        <f t="shared" si="74"/>
        <v>204.1</v>
      </c>
      <c r="M53" s="378"/>
      <c r="N53" s="378">
        <f t="shared" ref="N53:Q53" si="75">N10*($X$27-47.5)</f>
        <v>251.2</v>
      </c>
      <c r="O53" s="378">
        <f t="shared" si="75"/>
        <v>47.1</v>
      </c>
      <c r="P53" s="378">
        <f t="shared" si="75"/>
        <v>376.8</v>
      </c>
      <c r="Q53" s="378">
        <f t="shared" si="75"/>
        <v>282.6</v>
      </c>
      <c r="R53" s="378"/>
      <c r="S53" s="378">
        <f t="shared" ref="S53:U53" si="76">S10*($X$27-47.5)</f>
        <v>78.5</v>
      </c>
      <c r="T53" s="378">
        <f t="shared" si="76"/>
        <v>518.1</v>
      </c>
      <c r="U53" s="378">
        <f t="shared" si="76"/>
        <v>94.2</v>
      </c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</row>
    <row r="54" ht="15.75" customHeight="1">
      <c r="A54" s="380" t="s">
        <v>454</v>
      </c>
      <c r="B54" s="378">
        <f t="shared" ref="B54:L54" si="77">B11*($X$27-52.5)</f>
        <v>32.1</v>
      </c>
      <c r="C54" s="378">
        <f t="shared" si="77"/>
        <v>0</v>
      </c>
      <c r="D54" s="378">
        <f t="shared" si="77"/>
        <v>139.1</v>
      </c>
      <c r="E54" s="378">
        <f t="shared" si="77"/>
        <v>2996</v>
      </c>
      <c r="F54" s="378">
        <f t="shared" si="77"/>
        <v>149.8</v>
      </c>
      <c r="G54" s="378">
        <f t="shared" si="77"/>
        <v>107</v>
      </c>
      <c r="H54" s="378">
        <f t="shared" si="77"/>
        <v>107</v>
      </c>
      <c r="I54" s="378">
        <f t="shared" si="77"/>
        <v>32.1</v>
      </c>
      <c r="J54" s="378">
        <f t="shared" si="77"/>
        <v>32.1</v>
      </c>
      <c r="K54" s="378">
        <f t="shared" si="77"/>
        <v>0</v>
      </c>
      <c r="L54" s="378">
        <f t="shared" si="77"/>
        <v>139.1</v>
      </c>
      <c r="M54" s="378"/>
      <c r="N54" s="378">
        <f t="shared" ref="N54:Q54" si="78">N11*($X$27-52.5)</f>
        <v>363.8</v>
      </c>
      <c r="O54" s="378">
        <f t="shared" si="78"/>
        <v>32.1</v>
      </c>
      <c r="P54" s="378">
        <f t="shared" si="78"/>
        <v>492.2</v>
      </c>
      <c r="Q54" s="378">
        <f t="shared" si="78"/>
        <v>256.8</v>
      </c>
      <c r="R54" s="378"/>
      <c r="S54" s="378">
        <f t="shared" ref="S54:U54" si="79">S11*($X$27-52.5)</f>
        <v>107</v>
      </c>
      <c r="T54" s="378">
        <f t="shared" si="79"/>
        <v>631.3</v>
      </c>
      <c r="U54" s="378">
        <f t="shared" si="79"/>
        <v>342.4</v>
      </c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</row>
    <row r="55" ht="15.75" customHeight="1">
      <c r="A55" s="380" t="s">
        <v>455</v>
      </c>
      <c r="B55" s="378">
        <f t="shared" ref="B55:L55" si="80">B12*($X$27-57.5)</f>
        <v>17.1</v>
      </c>
      <c r="C55" s="378">
        <f t="shared" si="80"/>
        <v>0</v>
      </c>
      <c r="D55" s="378">
        <f t="shared" si="80"/>
        <v>256.5</v>
      </c>
      <c r="E55" s="378">
        <f t="shared" si="80"/>
        <v>2553.6</v>
      </c>
      <c r="F55" s="378">
        <f t="shared" si="80"/>
        <v>131.1</v>
      </c>
      <c r="G55" s="378">
        <f t="shared" si="80"/>
        <v>74.1</v>
      </c>
      <c r="H55" s="378">
        <f t="shared" si="80"/>
        <v>74.1</v>
      </c>
      <c r="I55" s="378">
        <f t="shared" si="80"/>
        <v>17.1</v>
      </c>
      <c r="J55" s="378">
        <f t="shared" si="80"/>
        <v>0</v>
      </c>
      <c r="K55" s="378">
        <f t="shared" si="80"/>
        <v>0</v>
      </c>
      <c r="L55" s="378">
        <f t="shared" si="80"/>
        <v>119.7</v>
      </c>
      <c r="M55" s="378"/>
      <c r="N55" s="378">
        <f t="shared" ref="N55:Q55" si="81">N12*($X$27-57.5)</f>
        <v>279.3</v>
      </c>
      <c r="O55" s="378">
        <f t="shared" si="81"/>
        <v>17.1</v>
      </c>
      <c r="P55" s="378">
        <f t="shared" si="81"/>
        <v>393.3</v>
      </c>
      <c r="Q55" s="378">
        <f t="shared" si="81"/>
        <v>239.4</v>
      </c>
      <c r="R55" s="378"/>
      <c r="S55" s="378">
        <f t="shared" ref="S55:U55" si="82">S12*($X$27-57.5)</f>
        <v>79.8</v>
      </c>
      <c r="T55" s="378">
        <f t="shared" si="82"/>
        <v>513</v>
      </c>
      <c r="U55" s="378">
        <f t="shared" si="82"/>
        <v>262.2</v>
      </c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</row>
    <row r="56" ht="15.75" customHeight="1">
      <c r="A56" s="380" t="s">
        <v>456</v>
      </c>
      <c r="B56" s="378">
        <f t="shared" ref="B56:L56" si="83">B13*($X$27-62.5)</f>
        <v>2.1</v>
      </c>
      <c r="C56" s="378">
        <f t="shared" si="83"/>
        <v>0</v>
      </c>
      <c r="D56" s="378">
        <f t="shared" si="83"/>
        <v>65.8</v>
      </c>
      <c r="E56" s="378">
        <f t="shared" si="83"/>
        <v>630.7</v>
      </c>
      <c r="F56" s="378">
        <f t="shared" si="83"/>
        <v>26.6</v>
      </c>
      <c r="G56" s="378">
        <f t="shared" si="83"/>
        <v>11.9</v>
      </c>
      <c r="H56" s="378">
        <f t="shared" si="83"/>
        <v>11.9</v>
      </c>
      <c r="I56" s="378">
        <f t="shared" si="83"/>
        <v>6.3</v>
      </c>
      <c r="J56" s="378">
        <f t="shared" si="83"/>
        <v>4.2</v>
      </c>
      <c r="K56" s="378">
        <f t="shared" si="83"/>
        <v>0</v>
      </c>
      <c r="L56" s="378">
        <f t="shared" si="83"/>
        <v>23.1</v>
      </c>
      <c r="M56" s="378"/>
      <c r="N56" s="378">
        <f t="shared" ref="N56:Q56" si="84">N13*($X$27-62.5)</f>
        <v>50.4</v>
      </c>
      <c r="O56" s="378">
        <f t="shared" si="84"/>
        <v>2.1</v>
      </c>
      <c r="P56" s="378">
        <f t="shared" si="84"/>
        <v>104.3</v>
      </c>
      <c r="Q56" s="378">
        <f t="shared" si="84"/>
        <v>63</v>
      </c>
      <c r="R56" s="378"/>
      <c r="S56" s="378">
        <f t="shared" ref="S56:U56" si="85">S13*($X$27-62.5)</f>
        <v>22.4</v>
      </c>
      <c r="T56" s="378">
        <f t="shared" si="85"/>
        <v>128.8</v>
      </c>
      <c r="U56" s="378">
        <f t="shared" si="85"/>
        <v>62.3</v>
      </c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</row>
    <row r="57" ht="15.75" customHeight="1">
      <c r="A57" s="13" t="s">
        <v>68</v>
      </c>
      <c r="B57" s="501">
        <f t="shared" ref="B57:L57" si="86">SUM(B47:B56)</f>
        <v>128.4</v>
      </c>
      <c r="C57" s="501">
        <f t="shared" si="86"/>
        <v>0</v>
      </c>
      <c r="D57" s="501">
        <f t="shared" si="86"/>
        <v>982.5</v>
      </c>
      <c r="E57" s="501">
        <f t="shared" si="86"/>
        <v>10910.3</v>
      </c>
      <c r="F57" s="501">
        <f t="shared" si="86"/>
        <v>825.8</v>
      </c>
      <c r="G57" s="501">
        <f t="shared" si="86"/>
        <v>1027.5</v>
      </c>
      <c r="H57" s="501">
        <f t="shared" si="86"/>
        <v>1027.5</v>
      </c>
      <c r="I57" s="501">
        <f t="shared" si="86"/>
        <v>271.8</v>
      </c>
      <c r="J57" s="501">
        <f t="shared" si="86"/>
        <v>282.6</v>
      </c>
      <c r="K57" s="501">
        <f t="shared" si="86"/>
        <v>0</v>
      </c>
      <c r="L57" s="501">
        <f t="shared" si="86"/>
        <v>794.4</v>
      </c>
      <c r="M57" s="501"/>
      <c r="N57" s="501">
        <f t="shared" ref="N57:Q57" si="87">SUM(N47:N56)</f>
        <v>1324.5</v>
      </c>
      <c r="O57" s="501">
        <f t="shared" si="87"/>
        <v>98.4</v>
      </c>
      <c r="P57" s="501">
        <f t="shared" si="87"/>
        <v>1692.1</v>
      </c>
      <c r="Q57" s="501">
        <f t="shared" si="87"/>
        <v>1570.7</v>
      </c>
      <c r="R57" s="501"/>
      <c r="S57" s="501">
        <f t="shared" ref="S57:U57" si="88">SUM(S47:S56)</f>
        <v>426.9</v>
      </c>
      <c r="T57" s="501">
        <f t="shared" si="88"/>
        <v>2796.4</v>
      </c>
      <c r="U57" s="501">
        <f t="shared" si="88"/>
        <v>1033.8</v>
      </c>
      <c r="V57" s="24">
        <f>SUM(B57:U57)</f>
        <v>25193.6</v>
      </c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</row>
    <row r="58" ht="15.75" customHeight="1">
      <c r="A58" s="13"/>
    </row>
    <row r="59" ht="15.75" customHeight="1">
      <c r="A59" s="218" t="s">
        <v>401</v>
      </c>
      <c r="B59" s="219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</row>
    <row r="60" ht="15.75" customHeight="1">
      <c r="A60" s="13"/>
    </row>
    <row r="61" ht="15.75" customHeight="1">
      <c r="A61" s="13" t="s">
        <v>602</v>
      </c>
    </row>
    <row r="62" ht="15.75" customHeight="1">
      <c r="A62" s="262" t="s">
        <v>468</v>
      </c>
      <c r="B62" s="262" t="s">
        <v>288</v>
      </c>
      <c r="C62" s="262" t="s">
        <v>405</v>
      </c>
      <c r="D62" s="262" t="s">
        <v>469</v>
      </c>
      <c r="E62" s="262" t="s">
        <v>294</v>
      </c>
      <c r="F62" s="262" t="s">
        <v>296</v>
      </c>
      <c r="G62" s="262" t="s">
        <v>298</v>
      </c>
      <c r="H62" s="262" t="s">
        <v>300</v>
      </c>
      <c r="I62" s="262" t="s">
        <v>89</v>
      </c>
      <c r="J62" s="262" t="s">
        <v>303</v>
      </c>
      <c r="K62" s="262" t="s">
        <v>470</v>
      </c>
      <c r="L62" s="262" t="s">
        <v>307</v>
      </c>
      <c r="M62" s="262" t="s">
        <v>406</v>
      </c>
      <c r="N62" s="262" t="s">
        <v>311</v>
      </c>
      <c r="O62" s="262" t="s">
        <v>313</v>
      </c>
      <c r="P62" s="262" t="s">
        <v>315</v>
      </c>
      <c r="Q62" s="262" t="s">
        <v>407</v>
      </c>
      <c r="R62" s="262" t="s">
        <v>319</v>
      </c>
      <c r="S62" s="262" t="s">
        <v>321</v>
      </c>
      <c r="T62" s="262" t="s">
        <v>323</v>
      </c>
      <c r="U62" s="262" t="s">
        <v>408</v>
      </c>
      <c r="W62" s="198"/>
    </row>
    <row r="63" ht="15.75" customHeight="1">
      <c r="A63" s="381" t="s">
        <v>447</v>
      </c>
      <c r="B63" s="47">
        <f>B26*'Pomocná data V. PAF'!C12</f>
        <v>0</v>
      </c>
      <c r="C63" s="47">
        <f>C26*'Pomocná data V. PAF'!D12</f>
        <v>0</v>
      </c>
      <c r="D63" s="47">
        <f>D26*'Pomocná data V. PAF'!E12</f>
        <v>0</v>
      </c>
      <c r="E63" s="47">
        <f>E26*'Pomocná data V. PAF'!F12</f>
        <v>0</v>
      </c>
      <c r="F63" s="47">
        <f>F26*'Pomocná data V. PAF'!G12</f>
        <v>0</v>
      </c>
      <c r="G63" s="47">
        <f>G26*'Pomocná data V. PAF'!H12</f>
        <v>0</v>
      </c>
      <c r="H63" s="47">
        <f>H26*'Pomocná data V. PAF'!I12</f>
        <v>0</v>
      </c>
      <c r="I63" s="47">
        <f>I26*'Pomocná data V. PAF'!J12</f>
        <v>0</v>
      </c>
      <c r="J63" s="47">
        <f>J26*'Pomocná data V. PAF'!K12</f>
        <v>0</v>
      </c>
      <c r="K63" s="47">
        <f>K26*'Pomocná data V. PAF'!L12</f>
        <v>0</v>
      </c>
      <c r="L63" s="47">
        <f>L26*'Pomocná data V. PAF'!M12</f>
        <v>0</v>
      </c>
      <c r="M63" s="47">
        <f>M26*'Pomocná data V. PAF'!N12</f>
        <v>0</v>
      </c>
      <c r="N63" s="47">
        <f>N26*'Pomocná data V. PAF'!O12</f>
        <v>6.414500811</v>
      </c>
      <c r="O63" s="47">
        <f>O26*'Pomocná data V. PAF'!P12</f>
        <v>0</v>
      </c>
      <c r="P63" s="47">
        <f>P26*'Pomocná data V. PAF'!Q12</f>
        <v>0</v>
      </c>
      <c r="Q63" s="47">
        <f>Q26*'Pomocná data V. PAF'!R12</f>
        <v>0</v>
      </c>
      <c r="R63" s="47">
        <f>R26*'Pomocná data V. PAF'!S12</f>
        <v>0</v>
      </c>
      <c r="S63" s="47">
        <f>S26*'Pomocná data V. PAF'!T12</f>
        <v>0</v>
      </c>
      <c r="T63" s="47">
        <f>T26*'Pomocná data V. PAF'!U12</f>
        <v>6.187707294</v>
      </c>
      <c r="U63" s="47">
        <f>U26*'Pomocná data V. PAF'!V12</f>
        <v>0</v>
      </c>
    </row>
    <row r="64" ht="15.75" customHeight="1">
      <c r="A64" s="381" t="s">
        <v>448</v>
      </c>
      <c r="B64" s="47">
        <f>B27*'Pomocná data V. PAF'!C13</f>
        <v>0</v>
      </c>
      <c r="C64" s="47">
        <f>C27*'Pomocná data V. PAF'!D13</f>
        <v>0</v>
      </c>
      <c r="D64" s="47">
        <f>D27*'Pomocná data V. PAF'!E13</f>
        <v>0</v>
      </c>
      <c r="E64" s="47">
        <f>E27*'Pomocná data V. PAF'!F13</f>
        <v>0</v>
      </c>
      <c r="F64" s="47">
        <f>F27*'Pomocná data V. PAF'!G13</f>
        <v>0</v>
      </c>
      <c r="G64" s="47">
        <f>G27*'Pomocná data V. PAF'!H13</f>
        <v>3.171333246</v>
      </c>
      <c r="H64" s="47">
        <f>H27*'Pomocná data V. PAF'!I13</f>
        <v>6.110757663</v>
      </c>
      <c r="I64" s="47">
        <f>I27*'Pomocná data V. PAF'!J13</f>
        <v>0</v>
      </c>
      <c r="J64" s="47">
        <f>J27*'Pomocná data V. PAF'!K13</f>
        <v>5.181509727</v>
      </c>
      <c r="K64" s="47">
        <f>K27*'Pomocná data V. PAF'!L13</f>
        <v>0</v>
      </c>
      <c r="L64" s="47">
        <f>L27*'Pomocná data V. PAF'!M13</f>
        <v>0</v>
      </c>
      <c r="M64" s="47">
        <f>M27*'Pomocná data V. PAF'!N13</f>
        <v>0</v>
      </c>
      <c r="N64" s="47">
        <f>N27*'Pomocná data V. PAF'!O13</f>
        <v>0</v>
      </c>
      <c r="O64" s="47">
        <f>O27*'Pomocná data V. PAF'!P13</f>
        <v>0</v>
      </c>
      <c r="P64" s="47">
        <f>P27*'Pomocná data V. PAF'!Q13</f>
        <v>0</v>
      </c>
      <c r="Q64" s="47">
        <f>Q27*'Pomocná data V. PAF'!R13</f>
        <v>11.03942038</v>
      </c>
      <c r="R64" s="47">
        <f>R27*'Pomocná data V. PAF'!S13</f>
        <v>0</v>
      </c>
      <c r="S64" s="47">
        <f>S27*'Pomocná data V. PAF'!T13</f>
        <v>0</v>
      </c>
      <c r="T64" s="47">
        <f>T27*'Pomocná data V. PAF'!U13</f>
        <v>9.281964837</v>
      </c>
      <c r="U64" s="47">
        <f>U27*'Pomocná data V. PAF'!V13</f>
        <v>0</v>
      </c>
    </row>
    <row r="65" ht="15.75" customHeight="1">
      <c r="A65" s="381" t="s">
        <v>449</v>
      </c>
      <c r="B65" s="47">
        <f>B28*'Pomocná data V. PAF'!C14</f>
        <v>0</v>
      </c>
      <c r="C65" s="47">
        <f>C28*'Pomocná data V. PAF'!D14</f>
        <v>0</v>
      </c>
      <c r="D65" s="47">
        <f>D28*'Pomocná data V. PAF'!E14</f>
        <v>61.72570211</v>
      </c>
      <c r="E65" s="47">
        <f>E28*'Pomocná data V. PAF'!F14</f>
        <v>11.87612381</v>
      </c>
      <c r="F65" s="47">
        <f>F28*'Pomocná data V. PAF'!G14</f>
        <v>0</v>
      </c>
      <c r="G65" s="47">
        <f>G28*'Pomocná data V. PAF'!H14</f>
        <v>4.509190797</v>
      </c>
      <c r="H65" s="47">
        <f>H28*'Pomocná data V. PAF'!I14</f>
        <v>8.604418008</v>
      </c>
      <c r="I65" s="47">
        <f>I28*'Pomocná data V. PAF'!J14</f>
        <v>0</v>
      </c>
      <c r="J65" s="47">
        <f>J28*'Pomocná data V. PAF'!K14</f>
        <v>0</v>
      </c>
      <c r="K65" s="47">
        <f>K28*'Pomocná data V. PAF'!L14</f>
        <v>0</v>
      </c>
      <c r="L65" s="47">
        <f>L28*'Pomocná data V. PAF'!M14</f>
        <v>34.78054448</v>
      </c>
      <c r="M65" s="47">
        <f>M28*'Pomocná data V. PAF'!N14</f>
        <v>0</v>
      </c>
      <c r="N65" s="47">
        <f>N28*'Pomocná data V. PAF'!O14</f>
        <v>0</v>
      </c>
      <c r="O65" s="47">
        <f>O28*'Pomocná data V. PAF'!P14</f>
        <v>0</v>
      </c>
      <c r="P65" s="47">
        <f>P28*'Pomocná data V. PAF'!Q14</f>
        <v>0</v>
      </c>
      <c r="Q65" s="47">
        <f>Q28*'Pomocná data V. PAF'!R14</f>
        <v>15.29574999</v>
      </c>
      <c r="R65" s="47">
        <f>R28*'Pomocná data V. PAF'!S14</f>
        <v>0</v>
      </c>
      <c r="S65" s="47">
        <f>S28*'Pomocná data V. PAF'!T14</f>
        <v>0</v>
      </c>
      <c r="T65" s="47">
        <f>T28*'Pomocná data V. PAF'!U14</f>
        <v>12.93445796</v>
      </c>
      <c r="U65" s="47">
        <f>U28*'Pomocná data V. PAF'!V14</f>
        <v>0</v>
      </c>
    </row>
    <row r="66" ht="15.75" customHeight="1">
      <c r="A66" s="381" t="s">
        <v>450</v>
      </c>
      <c r="B66" s="47">
        <f>B29*'Pomocná data V. PAF'!C15</f>
        <v>0</v>
      </c>
      <c r="C66" s="47">
        <f>C29*'Pomocná data V. PAF'!D15</f>
        <v>0</v>
      </c>
      <c r="D66" s="47">
        <f>D29*'Pomocná data V. PAF'!E15</f>
        <v>68.11773236</v>
      </c>
      <c r="E66" s="47">
        <f>E29*'Pomocná data V. PAF'!F15</f>
        <v>24.69790287</v>
      </c>
      <c r="F66" s="47">
        <f>F29*'Pomocná data V. PAF'!G15</f>
        <v>0</v>
      </c>
      <c r="G66" s="47">
        <f>G29*'Pomocná data V. PAF'!H15</f>
        <v>5.73726583</v>
      </c>
      <c r="H66" s="47">
        <f>H29*'Pomocná data V. PAF'!I15</f>
        <v>10.82927076</v>
      </c>
      <c r="I66" s="47">
        <f>I29*'Pomocná data V. PAF'!J15</f>
        <v>140.7</v>
      </c>
      <c r="J66" s="47">
        <f>J29*'Pomocná data V. PAF'!K15</f>
        <v>0</v>
      </c>
      <c r="K66" s="47">
        <f>K29*'Pomocná data V. PAF'!L15</f>
        <v>0</v>
      </c>
      <c r="L66" s="47">
        <f>L29*'Pomocná data V. PAF'!M15</f>
        <v>0</v>
      </c>
      <c r="M66" s="47">
        <f>M29*'Pomocná data V. PAF'!N15</f>
        <v>0</v>
      </c>
      <c r="N66" s="47">
        <f>N29*'Pomocná data V. PAF'!O15</f>
        <v>0</v>
      </c>
      <c r="O66" s="47">
        <f>O29*'Pomocná data V. PAF'!P15</f>
        <v>0</v>
      </c>
      <c r="P66" s="47">
        <f>P29*'Pomocná data V. PAF'!Q15</f>
        <v>0</v>
      </c>
      <c r="Q66" s="47">
        <f>Q29*'Pomocná data V. PAF'!R15</f>
        <v>18.91608638</v>
      </c>
      <c r="R66" s="47">
        <f>R29*'Pomocná data V. PAF'!S15</f>
        <v>0</v>
      </c>
      <c r="S66" s="47">
        <f>S29*'Pomocná data V. PAF'!T15</f>
        <v>0</v>
      </c>
      <c r="T66" s="47">
        <f>T29*'Pomocná data V. PAF'!U15</f>
        <v>16.09465003</v>
      </c>
      <c r="U66" s="47">
        <f>U29*'Pomocná data V. PAF'!V15</f>
        <v>16.99029138</v>
      </c>
    </row>
    <row r="67" ht="15.75" customHeight="1">
      <c r="A67" s="381" t="s">
        <v>451</v>
      </c>
      <c r="B67" s="47">
        <f>B30*'Pomocná data V. PAF'!C16</f>
        <v>11.27686787</v>
      </c>
      <c r="C67" s="47">
        <f>C30*'Pomocná data V. PAF'!D16</f>
        <v>0</v>
      </c>
      <c r="D67" s="47">
        <f>D30*'Pomocná data V. PAF'!E16</f>
        <v>71.59436224</v>
      </c>
      <c r="E67" s="47">
        <f>E30*'Pomocná data V. PAF'!F16</f>
        <v>160.287823</v>
      </c>
      <c r="F67" s="47">
        <f>F30*'Pomocná data V. PAF'!G16</f>
        <v>0</v>
      </c>
      <c r="G67" s="47">
        <f>G30*'Pomocná data V. PAF'!H16</f>
        <v>11.78011479</v>
      </c>
      <c r="H67" s="47">
        <f>H30*'Pomocná data V. PAF'!I16</f>
        <v>21.92724048</v>
      </c>
      <c r="I67" s="47">
        <f>I30*'Pomocná data V. PAF'!J16</f>
        <v>126.3</v>
      </c>
      <c r="J67" s="47">
        <f>J30*'Pomocná data V. PAF'!K16</f>
        <v>11.27686787</v>
      </c>
      <c r="K67" s="47">
        <f>K30*'Pomocná data V. PAF'!L16</f>
        <v>0</v>
      </c>
      <c r="L67" s="47">
        <f>L30*'Pomocná data V. PAF'!M16</f>
        <v>45.97079655</v>
      </c>
      <c r="M67" s="47">
        <f>M30*'Pomocná data V. PAF'!N16</f>
        <v>0</v>
      </c>
      <c r="N67" s="47">
        <f>N30*'Pomocná data V. PAF'!O16</f>
        <v>19.89371841</v>
      </c>
      <c r="O67" s="47">
        <f>O30*'Pomocná data V. PAF'!P16</f>
        <v>0</v>
      </c>
      <c r="P67" s="47">
        <f>P30*'Pomocná data V. PAF'!Q16</f>
        <v>28.7047229</v>
      </c>
      <c r="Q67" s="47">
        <f>Q30*'Pomocná data V. PAF'!R16</f>
        <v>52.46754891</v>
      </c>
      <c r="R67" s="47">
        <f>R30*'Pomocná data V. PAF'!S16</f>
        <v>0</v>
      </c>
      <c r="S67" s="47">
        <f>S30*'Pomocná data V. PAF'!T16</f>
        <v>12.22434698</v>
      </c>
      <c r="T67" s="47">
        <f>T30*'Pomocná data V. PAF'!U16</f>
        <v>64.25661797</v>
      </c>
      <c r="U67" s="47">
        <f>U30*'Pomocná data V. PAF'!V16</f>
        <v>20.30093998</v>
      </c>
    </row>
    <row r="68" ht="15.75" customHeight="1">
      <c r="A68" s="381" t="s">
        <v>452</v>
      </c>
      <c r="B68" s="47">
        <f>B31*'Pomocná data V. PAF'!C17</f>
        <v>0</v>
      </c>
      <c r="C68" s="47">
        <f>C31*'Pomocná data V. PAF'!D17</f>
        <v>0</v>
      </c>
      <c r="D68" s="47">
        <f>D31*'Pomocná data V. PAF'!E17</f>
        <v>113.935049</v>
      </c>
      <c r="E68" s="47">
        <f>E31*'Pomocná data V. PAF'!F17</f>
        <v>489.4907996</v>
      </c>
      <c r="F68" s="47">
        <f>F31*'Pomocná data V. PAF'!G17</f>
        <v>0</v>
      </c>
      <c r="G68" s="47">
        <f>G31*'Pomocná data V. PAF'!H17</f>
        <v>27.14146144</v>
      </c>
      <c r="H68" s="47">
        <f>H31*'Pomocná data V. PAF'!I17</f>
        <v>50.06321198</v>
      </c>
      <c r="I68" s="47">
        <f>I31*'Pomocná data V. PAF'!J17</f>
        <v>0</v>
      </c>
      <c r="J68" s="47">
        <f>J31*'Pomocná data V. PAF'!K17</f>
        <v>0</v>
      </c>
      <c r="K68" s="47">
        <f>K31*'Pomocná data V. PAF'!L17</f>
        <v>0</v>
      </c>
      <c r="L68" s="47">
        <f>L31*'Pomocná data V. PAF'!M17</f>
        <v>90.97814157</v>
      </c>
      <c r="M68" s="47">
        <f>M31*'Pomocná data V. PAF'!N17</f>
        <v>0</v>
      </c>
      <c r="N68" s="47">
        <f>N31*'Pomocná data V. PAF'!O17</f>
        <v>54.50899872</v>
      </c>
      <c r="O68" s="47">
        <f>O31*'Pomocná data V. PAF'!P17</f>
        <v>0</v>
      </c>
      <c r="P68" s="47">
        <f>P31*'Pomocná data V. PAF'!Q17</f>
        <v>116.4663334</v>
      </c>
      <c r="Q68" s="47">
        <f>Q31*'Pomocná data V. PAF'!R17</f>
        <v>84.3946347</v>
      </c>
      <c r="R68" s="47">
        <f>R31*'Pomocná data V. PAF'!S17</f>
        <v>0</v>
      </c>
      <c r="S68" s="47">
        <f>S31*'Pomocná data V. PAF'!T17</f>
        <v>12.70398309</v>
      </c>
      <c r="T68" s="47">
        <f>T31*'Pomocná data V. PAF'!U17</f>
        <v>92.51749112</v>
      </c>
      <c r="U68" s="47">
        <f>U31*'Pomocná data V. PAF'!V17</f>
        <v>34.74466699</v>
      </c>
    </row>
    <row r="69" ht="15.75" customHeight="1">
      <c r="A69" s="381" t="s">
        <v>453</v>
      </c>
      <c r="B69" s="47">
        <f>B32*'Pomocná data V. PAF'!C18</f>
        <v>0</v>
      </c>
      <c r="C69" s="47">
        <f>C32*'Pomocná data V. PAF'!D18</f>
        <v>0</v>
      </c>
      <c r="D69" s="47">
        <f>D32*'Pomocná data V. PAF'!E18</f>
        <v>189.6742601</v>
      </c>
      <c r="E69" s="47">
        <f>E32*'Pomocná data V. PAF'!F18</f>
        <v>817.8729835</v>
      </c>
      <c r="F69" s="47">
        <f>F32*'Pomocná data V. PAF'!G18</f>
        <v>0</v>
      </c>
      <c r="G69" s="47">
        <f>G32*'Pomocná data V. PAF'!H18</f>
        <v>24.81446856</v>
      </c>
      <c r="H69" s="47">
        <f>H32*'Pomocná data V. PAF'!I18</f>
        <v>45.36444674</v>
      </c>
      <c r="I69" s="47">
        <f>I32*'Pomocná data V. PAF'!J18</f>
        <v>98.1</v>
      </c>
      <c r="J69" s="47">
        <f>J32*'Pomocná data V. PAF'!K18</f>
        <v>11.72979376</v>
      </c>
      <c r="K69" s="47">
        <f>K32*'Pomocná data V. PAF'!L18</f>
        <v>0</v>
      </c>
      <c r="L69" s="47">
        <f>L32*'Pomocná data V. PAF'!M18</f>
        <v>187.9771574</v>
      </c>
      <c r="M69" s="47">
        <f>M32*'Pomocná data V. PAF'!N18</f>
        <v>0</v>
      </c>
      <c r="N69" s="47">
        <f>N32*'Pomocná data V. PAF'!O18</f>
        <v>107.6265876</v>
      </c>
      <c r="O69" s="47">
        <f>O32*'Pomocná data V. PAF'!P18</f>
        <v>0</v>
      </c>
      <c r="P69" s="47">
        <f>P32*'Pomocná data V. PAF'!Q18</f>
        <v>227.1859175</v>
      </c>
      <c r="Q69" s="47">
        <f>Q32*'Pomocná data V. PAF'!R18</f>
        <v>135.8452806</v>
      </c>
      <c r="R69" s="47">
        <f>R32*'Pomocná data V. PAF'!S18</f>
        <v>0</v>
      </c>
      <c r="S69" s="47">
        <f>S32*'Pomocná data V. PAF'!T18</f>
        <v>21.13316958</v>
      </c>
      <c r="T69" s="47">
        <f>T32*'Pomocná data V. PAF'!U18</f>
        <v>215.4803096</v>
      </c>
      <c r="U69" s="47">
        <f>U32*'Pomocná data V. PAF'!V18</f>
        <v>41.13795938</v>
      </c>
    </row>
    <row r="70" ht="15.75" customHeight="1">
      <c r="A70" s="381" t="s">
        <v>454</v>
      </c>
      <c r="B70" s="47">
        <f>B33*'Pomocná data V. PAF'!C19</f>
        <v>11.43591267</v>
      </c>
      <c r="C70" s="47">
        <f>C33*'Pomocná data V. PAF'!D19</f>
        <v>0</v>
      </c>
      <c r="D70" s="47">
        <f>D33*'Pomocná data V. PAF'!E19</f>
        <v>247.8243033</v>
      </c>
      <c r="E70" s="47">
        <f>E33*'Pomocná data V. PAF'!F19</f>
        <v>1637.876169</v>
      </c>
      <c r="F70" s="47">
        <f>F33*'Pomocná data V. PAF'!G19</f>
        <v>0</v>
      </c>
      <c r="G70" s="47">
        <f>G33*'Pomocná data V. PAF'!H19</f>
        <v>24.3504582</v>
      </c>
      <c r="H70" s="47">
        <f>H33*'Pomocná data V. PAF'!I19</f>
        <v>44.10260801</v>
      </c>
      <c r="I70" s="47">
        <f>I33*'Pomocná data V. PAF'!J19</f>
        <v>84.6</v>
      </c>
      <c r="J70" s="47">
        <f>J33*'Pomocná data V. PAF'!K19</f>
        <v>11.43591267</v>
      </c>
      <c r="K70" s="47">
        <f>K33*'Pomocná data V. PAF'!L19</f>
        <v>0</v>
      </c>
      <c r="L70" s="47">
        <f>L33*'Pomocná data V. PAF'!M19</f>
        <v>174.9021986</v>
      </c>
      <c r="M70" s="47">
        <f>M33*'Pomocná data V. PAF'!N19</f>
        <v>0</v>
      </c>
      <c r="N70" s="47">
        <f>N33*'Pomocná data V. PAF'!O19</f>
        <v>220.1649495</v>
      </c>
      <c r="O70" s="47">
        <f>O33*'Pomocná data V. PAF'!P19</f>
        <v>0</v>
      </c>
      <c r="P70" s="47">
        <f>P33*'Pomocná data V. PAF'!Q19</f>
        <v>414.0992079</v>
      </c>
      <c r="Q70" s="47">
        <f>Q33*'Pomocná data V. PAF'!R19</f>
        <v>173.724535</v>
      </c>
      <c r="R70" s="47">
        <f>R33*'Pomocná data V. PAF'!S19</f>
        <v>0</v>
      </c>
      <c r="S70" s="47">
        <f>S33*'Pomocná data V. PAF'!T19</f>
        <v>41.14830742</v>
      </c>
      <c r="T70" s="47">
        <f>T33*'Pomocná data V. PAF'!U19</f>
        <v>371.1918262</v>
      </c>
      <c r="U70" s="47">
        <f>U33*'Pomocná data V. PAF'!V19</f>
        <v>211.0858596</v>
      </c>
    </row>
    <row r="71" ht="15.75" customHeight="1">
      <c r="A71" s="381" t="s">
        <v>455</v>
      </c>
      <c r="B71" s="47">
        <f>B34*'Pomocná data V. PAF'!C20</f>
        <v>9.807220393</v>
      </c>
      <c r="C71" s="47">
        <f>C34*'Pomocná data V. PAF'!D20</f>
        <v>0</v>
      </c>
      <c r="D71" s="47">
        <f>D34*'Pomocná data V. PAF'!E20</f>
        <v>730.2562107</v>
      </c>
      <c r="E71" s="47">
        <f>E34*'Pomocná data V. PAF'!F20</f>
        <v>2245.150874</v>
      </c>
      <c r="F71" s="47">
        <f>F34*'Pomocná data V. PAF'!G20</f>
        <v>0</v>
      </c>
      <c r="G71" s="47">
        <f>G34*'Pomocná data V. PAF'!H20</f>
        <v>27.16544565</v>
      </c>
      <c r="H71" s="47">
        <f>H34*'Pomocná data V. PAF'!I20</f>
        <v>49.15370328</v>
      </c>
      <c r="I71" s="47">
        <f>I34*'Pomocná data V. PAF'!J20</f>
        <v>71.7</v>
      </c>
      <c r="J71" s="47">
        <f>J34*'Pomocná data V. PAF'!K20</f>
        <v>0</v>
      </c>
      <c r="K71" s="47">
        <f>K34*'Pomocná data V. PAF'!L20</f>
        <v>0</v>
      </c>
      <c r="L71" s="47">
        <f>L34*'Pomocná data V. PAF'!M20</f>
        <v>241.1639232</v>
      </c>
      <c r="M71" s="47">
        <f>M34*'Pomocná data V. PAF'!N20</f>
        <v>0</v>
      </c>
      <c r="N71" s="47">
        <f>N34*'Pomocná data V. PAF'!O20</f>
        <v>271.7550604</v>
      </c>
      <c r="O71" s="47">
        <f>O34*'Pomocná data V. PAF'!P20</f>
        <v>0</v>
      </c>
      <c r="P71" s="47">
        <f>P34*'Pomocná data V. PAF'!Q20</f>
        <v>531.3426993</v>
      </c>
      <c r="Q71" s="47">
        <f>Q34*'Pomocná data V. PAF'!R20</f>
        <v>260.2857508</v>
      </c>
      <c r="R71" s="47">
        <f>R34*'Pomocná data V. PAF'!S20</f>
        <v>0</v>
      </c>
      <c r="S71" s="47">
        <f>S34*'Pomocná data V. PAF'!T20</f>
        <v>49.39592054</v>
      </c>
      <c r="T71" s="47">
        <f>T34*'Pomocná data V. PAF'!U20</f>
        <v>484.9981334</v>
      </c>
      <c r="U71" s="47">
        <f>U34*'Pomocná data V. PAF'!V20</f>
        <v>259.8685615</v>
      </c>
    </row>
    <row r="72" ht="15.75" customHeight="1">
      <c r="A72" s="381" t="s">
        <v>456</v>
      </c>
      <c r="B72" s="47">
        <f>B35*'Pomocná data V. PAF'!C21</f>
        <v>8.1248102</v>
      </c>
      <c r="C72" s="47">
        <f>C35*'Pomocná data V. PAF'!D21</f>
        <v>0</v>
      </c>
      <c r="D72" s="47">
        <f>D35*'Pomocná data V. PAF'!E21</f>
        <v>1263.740455</v>
      </c>
      <c r="E72" s="47">
        <f>E35*'Pomocná data V. PAF'!F21</f>
        <v>3740.75786</v>
      </c>
      <c r="F72" s="47">
        <f>F35*'Pomocná data V. PAF'!G21</f>
        <v>0</v>
      </c>
      <c r="G72" s="47">
        <f>G35*'Pomocná data V. PAF'!H21</f>
        <v>29.4299614</v>
      </c>
      <c r="H72" s="47">
        <f>H35*'Pomocná data V. PAF'!I21</f>
        <v>53.25116357</v>
      </c>
      <c r="I72" s="47">
        <f>I35*'Pomocná data V. PAF'!J21</f>
        <v>178.2</v>
      </c>
      <c r="J72" s="47">
        <f>J35*'Pomocná data V. PAF'!K21</f>
        <v>16.2496204</v>
      </c>
      <c r="K72" s="47">
        <f>K35*'Pomocná data V. PAF'!L21</f>
        <v>0</v>
      </c>
      <c r="L72" s="47">
        <f>L35*'Pomocná data V. PAF'!M21</f>
        <v>313.959967</v>
      </c>
      <c r="M72" s="47">
        <f>M35*'Pomocná data V. PAF'!N21</f>
        <v>0</v>
      </c>
      <c r="N72" s="47">
        <f>N35*'Pomocná data V. PAF'!O21</f>
        <v>330.8120691</v>
      </c>
      <c r="O72" s="47">
        <f>O35*'Pomocná data V. PAF'!P21</f>
        <v>0</v>
      </c>
      <c r="P72" s="47">
        <f>P35*'Pomocná data V. PAF'!Q21</f>
        <v>950.5592331</v>
      </c>
      <c r="Q72" s="47">
        <f>Q35*'Pomocná data V. PAF'!R21</f>
        <v>462.0733293</v>
      </c>
      <c r="R72" s="47">
        <f>R35*'Pomocná data V. PAF'!S21</f>
        <v>0</v>
      </c>
      <c r="S72" s="47">
        <f>S35*'Pomocná data V. PAF'!T21</f>
        <v>93.53632772</v>
      </c>
      <c r="T72" s="47">
        <f>T35*'Pomocná data V. PAF'!U21</f>
        <v>821.4529054</v>
      </c>
      <c r="U72" s="47">
        <f>U35*'Pomocná data V. PAF'!V21</f>
        <v>416.5366373</v>
      </c>
    </row>
    <row r="73" ht="15.75" customHeight="1">
      <c r="A73" s="381" t="s">
        <v>457</v>
      </c>
      <c r="B73" s="47">
        <f>B36*'Pomocná data V. PAF'!C22</f>
        <v>14.06123558</v>
      </c>
      <c r="C73" s="47">
        <f>C36*'Pomocná data V. PAF'!D22</f>
        <v>0</v>
      </c>
      <c r="D73" s="47">
        <f>D36*'Pomocná data V. PAF'!E22</f>
        <v>2188.254414</v>
      </c>
      <c r="E73" s="47">
        <f>E36*'Pomocná data V. PAF'!F22</f>
        <v>3670.49542</v>
      </c>
      <c r="F73" s="47">
        <f>F36*'Pomocná data V. PAF'!G22</f>
        <v>0</v>
      </c>
      <c r="G73" s="47">
        <f>G36*'Pomocná data V. PAF'!H22</f>
        <v>45.53897216</v>
      </c>
      <c r="H73" s="47">
        <f>H36*'Pomocná data V. PAF'!I22</f>
        <v>83.76962064</v>
      </c>
      <c r="I73" s="47">
        <f>I36*'Pomocná data V. PAF'!J22</f>
        <v>112.7</v>
      </c>
      <c r="J73" s="47">
        <f>J36*'Pomocná data V. PAF'!K22</f>
        <v>24.60716226</v>
      </c>
      <c r="K73" s="47">
        <f>K36*'Pomocná data V. PAF'!L22</f>
        <v>0</v>
      </c>
      <c r="L73" s="47">
        <f>L36*'Pomocná data V. PAF'!M22</f>
        <v>355.8504999</v>
      </c>
      <c r="M73" s="47">
        <f>M36*'Pomocná data V. PAF'!N22</f>
        <v>0</v>
      </c>
      <c r="N73" s="47">
        <f>N36*'Pomocná data V. PAF'!O22</f>
        <v>369.028913</v>
      </c>
      <c r="O73" s="47">
        <f>O36*'Pomocná data V. PAF'!P22</f>
        <v>0</v>
      </c>
      <c r="P73" s="47">
        <f>P36*'Pomocná data V. PAF'!Q22</f>
        <v>913.2042664</v>
      </c>
      <c r="Q73" s="47">
        <f>Q36*'Pomocná data V. PAF'!R22</f>
        <v>699.7846154</v>
      </c>
      <c r="R73" s="47">
        <f>R36*'Pomocná data V. PAF'!S22</f>
        <v>0</v>
      </c>
      <c r="S73" s="47">
        <f>S36*'Pomocná data V. PAF'!T22</f>
        <v>106.5032144</v>
      </c>
      <c r="T73" s="47">
        <f>T36*'Pomocná data V. PAF'!U22</f>
        <v>789.9867812</v>
      </c>
      <c r="U73" s="47">
        <f>U36*'Pomocná data V. PAF'!V22</f>
        <v>472.6962078</v>
      </c>
    </row>
    <row r="74" ht="15.75" customHeight="1">
      <c r="A74" s="381" t="s">
        <v>458</v>
      </c>
      <c r="B74" s="47">
        <f>B37*'Pomocná data V. PAF'!C23</f>
        <v>7.711288251</v>
      </c>
      <c r="C74" s="47">
        <f>C37*'Pomocná data V. PAF'!D23</f>
        <v>0</v>
      </c>
      <c r="D74" s="47">
        <f>D37*'Pomocná data V. PAF'!E23</f>
        <v>2223.069911</v>
      </c>
      <c r="E74" s="47">
        <f>E37*'Pomocná data V. PAF'!F23</f>
        <v>3542.98291</v>
      </c>
      <c r="F74" s="47">
        <f>F37*'Pomocná data V. PAF'!G23</f>
        <v>0</v>
      </c>
      <c r="G74" s="47">
        <f>G37*'Pomocná data V. PAF'!H23</f>
        <v>35.59470119</v>
      </c>
      <c r="H74" s="47">
        <f>H37*'Pomocná data V. PAF'!I23</f>
        <v>65.84970828</v>
      </c>
      <c r="I74" s="47">
        <f>I37*'Pomocná data V. PAF'!J23</f>
        <v>64.5</v>
      </c>
      <c r="J74" s="47">
        <f>J37*'Pomocná data V. PAF'!K23</f>
        <v>25.70429417</v>
      </c>
      <c r="K74" s="47">
        <f>K37*'Pomocná data V. PAF'!L23</f>
        <v>17.47668909</v>
      </c>
      <c r="L74" s="47">
        <f>L37*'Pomocná data V. PAF'!M23</f>
        <v>334.1167195</v>
      </c>
      <c r="M74" s="47">
        <f>M37*'Pomocná data V. PAF'!N23</f>
        <v>0</v>
      </c>
      <c r="N74" s="47">
        <f>N37*'Pomocná data V. PAF'!O23</f>
        <v>328.173523</v>
      </c>
      <c r="O74" s="47">
        <f>O37*'Pomocná data V. PAF'!P23</f>
        <v>0</v>
      </c>
      <c r="P74" s="47">
        <f>P37*'Pomocná data V. PAF'!Q23</f>
        <v>733.0255803</v>
      </c>
      <c r="Q74" s="47">
        <f>Q37*'Pomocná data V. PAF'!R23</f>
        <v>575.2438046</v>
      </c>
      <c r="R74" s="47">
        <f>R37*'Pomocná data V. PAF'!S23</f>
        <v>0</v>
      </c>
      <c r="S74" s="47">
        <f>S37*'Pomocná data V. PAF'!T23</f>
        <v>61.24227855</v>
      </c>
      <c r="T74" s="47">
        <f>T37*'Pomocná data V. PAF'!U23</f>
        <v>797.6684632</v>
      </c>
      <c r="U74" s="47">
        <f>U37*'Pomocná data V. PAF'!V23</f>
        <v>488.375569</v>
      </c>
    </row>
    <row r="75" ht="15.75" customHeight="1">
      <c r="A75" s="381" t="s">
        <v>459</v>
      </c>
      <c r="B75" s="47">
        <f>SUM(B38:B42)*'Pomocná data V. PAF'!C24</f>
        <v>13.1705353</v>
      </c>
      <c r="C75" s="47">
        <f>SUM(C38:C42)*'Pomocná data V. PAF'!D24</f>
        <v>4.176617214</v>
      </c>
      <c r="D75" s="47">
        <f>SUM(D38:D42)*'Pomocná data V. PAF'!E24</f>
        <v>3068.529553</v>
      </c>
      <c r="E75" s="47">
        <f>SUM(E38:E42)*'Pomocná data V. PAF'!F24</f>
        <v>5088.13988</v>
      </c>
      <c r="F75" s="47">
        <f>SUM(F38:F42)*'Pomocná data V. PAF'!G24</f>
        <v>0</v>
      </c>
      <c r="G75" s="47">
        <f>SUM(G38:G42)*'Pomocná data V. PAF'!H24</f>
        <v>29.31084255</v>
      </c>
      <c r="H75" s="47">
        <f>SUM(H38:H42)*'Pomocná data V. PAF'!I24</f>
        <v>54.86205871</v>
      </c>
      <c r="I75" s="47">
        <f>SUM(I38:I42)*'Pomocná data V. PAF'!J24</f>
        <v>0</v>
      </c>
      <c r="J75" s="47">
        <f>SUM(J38:J42)*'Pomocná data V. PAF'!K24</f>
        <v>36.74643284</v>
      </c>
      <c r="K75" s="47">
        <f>SUM(K38:K42)*'Pomocná data V. PAF'!L24</f>
        <v>0</v>
      </c>
      <c r="L75" s="47">
        <f>SUM(L38:L42)*'Pomocná data V. PAF'!M24</f>
        <v>407.6292498</v>
      </c>
      <c r="M75" s="47">
        <f>SUM(M38:M42)*'Pomocná data V. PAF'!N24</f>
        <v>0</v>
      </c>
      <c r="N75" s="47">
        <f>SUM(N38:N42)*'Pomocná data V. PAF'!O24</f>
        <v>274.6266978</v>
      </c>
      <c r="O75" s="47">
        <f>SUM(O38:O42)*'Pomocná data V. PAF'!P24</f>
        <v>0</v>
      </c>
      <c r="P75" s="47">
        <f>SUM(P38:P42)*'Pomocná data V. PAF'!Q24</f>
        <v>538.9870472</v>
      </c>
      <c r="Q75" s="47">
        <f>SUM(Q38:Q42)*'Pomocná data V. PAF'!R24</f>
        <v>622.600302</v>
      </c>
      <c r="R75" s="47">
        <f>SUM(R38:R42)*'Pomocná data V. PAF'!S24</f>
        <v>0</v>
      </c>
      <c r="S75" s="47">
        <f>SUM(S38:S42)*'Pomocná data V. PAF'!T24</f>
        <v>81.29737155</v>
      </c>
      <c r="T75" s="47">
        <f>SUM(T38:T42)*'Pomocná data V. PAF'!U24</f>
        <v>1200.476255</v>
      </c>
      <c r="U75" s="47">
        <f>SUM(U38:U42)*'Pomocná data V. PAF'!V24</f>
        <v>701.3327816</v>
      </c>
    </row>
    <row r="76" ht="15.75" customHeight="1">
      <c r="A76" s="13" t="s">
        <v>68</v>
      </c>
      <c r="B76" s="384">
        <f t="shared" ref="B76:U76" si="89">SUM(B63:B75)</f>
        <v>75.58787027</v>
      </c>
      <c r="C76" s="384">
        <f t="shared" si="89"/>
        <v>4.176617214</v>
      </c>
      <c r="D76" s="384">
        <f t="shared" si="89"/>
        <v>10226.72195</v>
      </c>
      <c r="E76" s="384">
        <f t="shared" si="89"/>
        <v>21429.62875</v>
      </c>
      <c r="F76" s="384">
        <f t="shared" si="89"/>
        <v>0</v>
      </c>
      <c r="G76" s="384">
        <f t="shared" si="89"/>
        <v>268.5442158</v>
      </c>
      <c r="H76" s="384">
        <f t="shared" si="89"/>
        <v>493.8882081</v>
      </c>
      <c r="I76" s="384">
        <f t="shared" si="89"/>
        <v>876.8</v>
      </c>
      <c r="J76" s="384">
        <f t="shared" si="89"/>
        <v>142.9315937</v>
      </c>
      <c r="K76" s="384">
        <f t="shared" si="89"/>
        <v>17.47668909</v>
      </c>
      <c r="L76" s="384">
        <f t="shared" si="89"/>
        <v>2187.329198</v>
      </c>
      <c r="M76" s="384">
        <f t="shared" si="89"/>
        <v>0</v>
      </c>
      <c r="N76" s="384">
        <f t="shared" si="89"/>
        <v>1983.005018</v>
      </c>
      <c r="O76" s="384">
        <f t="shared" si="89"/>
        <v>0</v>
      </c>
      <c r="P76" s="384">
        <f t="shared" si="89"/>
        <v>4453.575008</v>
      </c>
      <c r="Q76" s="384">
        <f t="shared" si="89"/>
        <v>3111.671058</v>
      </c>
      <c r="R76" s="384">
        <f t="shared" si="89"/>
        <v>0</v>
      </c>
      <c r="S76" s="384">
        <f t="shared" si="89"/>
        <v>479.1849199</v>
      </c>
      <c r="T76" s="384">
        <f t="shared" si="89"/>
        <v>4882.527563</v>
      </c>
      <c r="U76" s="384">
        <f t="shared" si="89"/>
        <v>2663.069475</v>
      </c>
      <c r="V76" s="502">
        <f>SUM(B76:U76)</f>
        <v>53296.11813</v>
      </c>
      <c r="W76" s="13" t="s">
        <v>612</v>
      </c>
    </row>
    <row r="77" ht="15.75" customHeight="1"/>
    <row r="78" ht="15.75" customHeight="1">
      <c r="A78" s="499" t="s">
        <v>604</v>
      </c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</row>
    <row r="79" ht="15.75" customHeight="1">
      <c r="A79" s="210" t="s">
        <v>468</v>
      </c>
      <c r="B79" s="500" t="s">
        <v>288</v>
      </c>
      <c r="C79" s="500" t="s">
        <v>405</v>
      </c>
      <c r="D79" s="500" t="s">
        <v>469</v>
      </c>
      <c r="E79" s="500" t="s">
        <v>294</v>
      </c>
      <c r="F79" s="500" t="s">
        <v>296</v>
      </c>
      <c r="G79" s="500" t="s">
        <v>298</v>
      </c>
      <c r="H79" s="500" t="s">
        <v>300</v>
      </c>
      <c r="I79" s="500" t="s">
        <v>89</v>
      </c>
      <c r="J79" s="500" t="s">
        <v>303</v>
      </c>
      <c r="K79" s="500" t="s">
        <v>470</v>
      </c>
      <c r="L79" s="500" t="s">
        <v>307</v>
      </c>
      <c r="M79" s="500" t="s">
        <v>406</v>
      </c>
      <c r="N79" s="500" t="s">
        <v>311</v>
      </c>
      <c r="O79" s="500" t="s">
        <v>313</v>
      </c>
      <c r="P79" s="500" t="s">
        <v>315</v>
      </c>
      <c r="Q79" s="500" t="s">
        <v>407</v>
      </c>
      <c r="R79" s="500" t="s">
        <v>319</v>
      </c>
      <c r="S79" s="500" t="s">
        <v>321</v>
      </c>
      <c r="T79" s="500" t="s">
        <v>323</v>
      </c>
      <c r="U79" s="478" t="s">
        <v>408</v>
      </c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</row>
    <row r="80" ht="15.75" customHeight="1">
      <c r="A80" s="380" t="s">
        <v>447</v>
      </c>
      <c r="B80" s="378">
        <f>B47*'Pomocná data V. PAF'!C12</f>
        <v>0</v>
      </c>
      <c r="C80" s="378">
        <f>C47*'Pomocná data V. PAF'!D12</f>
        <v>0</v>
      </c>
      <c r="D80" s="378">
        <f>D47*'Pomocná data V. PAF'!E12</f>
        <v>0</v>
      </c>
      <c r="E80" s="378">
        <f>E47*'Pomocná data V. PAF'!F12</f>
        <v>0</v>
      </c>
      <c r="F80" s="378">
        <f>F47*'Pomocná data V. PAF'!G12</f>
        <v>0</v>
      </c>
      <c r="G80" s="378">
        <f>G47*'Pomocná data V. PAF'!H12</f>
        <v>0</v>
      </c>
      <c r="H80" s="378">
        <f>H47*'Pomocná data V. PAF'!I12</f>
        <v>0</v>
      </c>
      <c r="I80" s="378">
        <f>I47*'Pomocná data V. PAF'!J12</f>
        <v>0</v>
      </c>
      <c r="J80" s="378">
        <f>J47*'Pomocná data V. PAF'!K12</f>
        <v>0</v>
      </c>
      <c r="K80" s="378">
        <f>K47*'Pomocná data V. PAF'!L12</f>
        <v>0</v>
      </c>
      <c r="L80" s="378">
        <f>L47*'Pomocná data V. PAF'!M12</f>
        <v>0</v>
      </c>
      <c r="M80" s="378">
        <f>M47*'Pomocná data V. PAF'!N12</f>
        <v>0</v>
      </c>
      <c r="N80" s="378">
        <f>N47*'Pomocná data V. PAF'!O12</f>
        <v>4.774310864</v>
      </c>
      <c r="O80" s="378">
        <f>O47*'Pomocná data V. PAF'!P12</f>
        <v>0</v>
      </c>
      <c r="P80" s="378">
        <f>P47*'Pomocná data V. PAF'!Q12</f>
        <v>0</v>
      </c>
      <c r="Q80" s="378">
        <f>Q47*'Pomocná data V. PAF'!R12</f>
        <v>0</v>
      </c>
      <c r="R80" s="378">
        <f>R47*'Pomocná data V. PAF'!S12</f>
        <v>0</v>
      </c>
      <c r="S80" s="378">
        <f>S47*'Pomocná data V. PAF'!T12</f>
        <v>0</v>
      </c>
      <c r="T80" s="378">
        <f>T47*'Pomocná data V. PAF'!U12</f>
        <v>4.605508524</v>
      </c>
      <c r="U80" s="378">
        <f>U47*'Pomocná data V. PAF'!V12</f>
        <v>0</v>
      </c>
      <c r="V80" s="24">
        <f t="shared" ref="V80:V90" si="90">SUM(B80:U80)</f>
        <v>9.379819388</v>
      </c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ht="15.75" customHeight="1">
      <c r="A81" s="380" t="s">
        <v>448</v>
      </c>
      <c r="B81" s="378">
        <f>B48*'Pomocná data V. PAF'!C13</f>
        <v>0</v>
      </c>
      <c r="C81" s="378">
        <f>C48*'Pomocná data V. PAF'!D13</f>
        <v>0</v>
      </c>
      <c r="D81" s="378">
        <f>D48*'Pomocná data V. PAF'!E13</f>
        <v>0</v>
      </c>
      <c r="E81" s="378">
        <f>E48*'Pomocná data V. PAF'!F13</f>
        <v>0</v>
      </c>
      <c r="F81" s="378">
        <f>F48*'Pomocná data V. PAF'!G13</f>
        <v>0</v>
      </c>
      <c r="G81" s="378">
        <f>G48*'Pomocná data V. PAF'!H13</f>
        <v>2.284482533</v>
      </c>
      <c r="H81" s="378">
        <f>H48*'Pomocná data V. PAF'!I13</f>
        <v>4.401908618</v>
      </c>
      <c r="I81" s="378">
        <f>I48*'Pomocná data V. PAF'!J13</f>
        <v>0</v>
      </c>
      <c r="J81" s="378">
        <f>J48*'Pomocná data V. PAF'!K13</f>
        <v>3.732521166</v>
      </c>
      <c r="K81" s="378">
        <f>K48*'Pomocná data V. PAF'!L13</f>
        <v>0</v>
      </c>
      <c r="L81" s="378">
        <f>L48*'Pomocná data V. PAF'!M13</f>
        <v>0</v>
      </c>
      <c r="M81" s="378">
        <f>M48*'Pomocná data V. PAF'!N13</f>
        <v>0</v>
      </c>
      <c r="N81" s="378">
        <f>N48*'Pomocná data V. PAF'!O13</f>
        <v>0</v>
      </c>
      <c r="O81" s="378">
        <f>O48*'Pomocná data V. PAF'!P13</f>
        <v>0</v>
      </c>
      <c r="P81" s="378">
        <f>P48*'Pomocná data V. PAF'!Q13</f>
        <v>0</v>
      </c>
      <c r="Q81" s="378">
        <f>Q48*'Pomocná data V. PAF'!R13</f>
        <v>7.952290433</v>
      </c>
      <c r="R81" s="378">
        <f>R48*'Pomocná data V. PAF'!S13</f>
        <v>0</v>
      </c>
      <c r="S81" s="378">
        <f>S48*'Pomocná data V. PAF'!T13</f>
        <v>0</v>
      </c>
      <c r="T81" s="378">
        <f>T48*'Pomocná data V. PAF'!U13</f>
        <v>6.686300334</v>
      </c>
      <c r="U81" s="378">
        <f>U48*'Pomocná data V. PAF'!V13</f>
        <v>0</v>
      </c>
      <c r="V81" s="24">
        <f t="shared" si="90"/>
        <v>25.05750308</v>
      </c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</row>
    <row r="82" ht="15.75" customHeight="1">
      <c r="A82" s="380" t="s">
        <v>449</v>
      </c>
      <c r="B82" s="378">
        <f>B49*'Pomocná data V. PAF'!C14</f>
        <v>0</v>
      </c>
      <c r="C82" s="378">
        <f>C49*'Pomocná data V. PAF'!D14</f>
        <v>0</v>
      </c>
      <c r="D82" s="378">
        <f>D49*'Pomocná data V. PAF'!E14</f>
        <v>42.62297032</v>
      </c>
      <c r="E82" s="378">
        <f>E49*'Pomocná data V. PAF'!F14</f>
        <v>8.200727662</v>
      </c>
      <c r="F82" s="378">
        <f>F49*'Pomocná data V. PAF'!G14</f>
        <v>0</v>
      </c>
      <c r="G82" s="378">
        <f>G49*'Pomocná data V. PAF'!H14</f>
        <v>3.113696546</v>
      </c>
      <c r="H82" s="378">
        <f>H49*'Pomocná data V. PAF'!I14</f>
        <v>5.941542029</v>
      </c>
      <c r="I82" s="378">
        <f>I49*'Pomocná data V. PAF'!J14</f>
        <v>0</v>
      </c>
      <c r="J82" s="378">
        <f>J49*'Pomocná data V. PAF'!K14</f>
        <v>0</v>
      </c>
      <c r="K82" s="378">
        <f>K49*'Pomocná data V. PAF'!L14</f>
        <v>0</v>
      </c>
      <c r="L82" s="378">
        <f>L49*'Pomocná data V. PAF'!M14</f>
        <v>24.01673961</v>
      </c>
      <c r="M82" s="378">
        <f>M49*'Pomocná data V. PAF'!N14</f>
        <v>0</v>
      </c>
      <c r="N82" s="378">
        <f>N49*'Pomocná data V. PAF'!O14</f>
        <v>0</v>
      </c>
      <c r="O82" s="378">
        <f>O49*'Pomocná data V. PAF'!P14</f>
        <v>0</v>
      </c>
      <c r="P82" s="378">
        <f>P49*'Pomocná data V. PAF'!Q14</f>
        <v>0</v>
      </c>
      <c r="Q82" s="378">
        <f>Q49*'Pomocná data V. PAF'!R14</f>
        <v>10.5620556</v>
      </c>
      <c r="R82" s="378">
        <f>R49*'Pomocná data V. PAF'!S14</f>
        <v>0</v>
      </c>
      <c r="S82" s="378">
        <f>S49*'Pomocná data V. PAF'!T14</f>
        <v>0</v>
      </c>
      <c r="T82" s="378">
        <f>T49*'Pomocná data V. PAF'!U14</f>
        <v>8.93153093</v>
      </c>
      <c r="U82" s="378">
        <f>U49*'Pomocná data V. PAF'!V14</f>
        <v>0</v>
      </c>
      <c r="V82" s="24">
        <f t="shared" si="90"/>
        <v>103.3892627</v>
      </c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</row>
    <row r="83" ht="15.75" customHeight="1">
      <c r="A83" s="380" t="s">
        <v>450</v>
      </c>
      <c r="B83" s="378">
        <f>B50*'Pomocná data V. PAF'!C15</f>
        <v>0</v>
      </c>
      <c r="C83" s="378">
        <f>C50*'Pomocná data V. PAF'!D15</f>
        <v>0</v>
      </c>
      <c r="D83" s="378">
        <f>D50*'Pomocná data V. PAF'!E15</f>
        <v>44.58879282</v>
      </c>
      <c r="E83" s="378">
        <f>E50*'Pomocná data V. PAF'!F15</f>
        <v>16.16685753</v>
      </c>
      <c r="F83" s="378">
        <f>F50*'Pomocná data V. PAF'!G15</f>
        <v>0</v>
      </c>
      <c r="G83" s="378">
        <f>G50*'Pomocná data V. PAF'!H15</f>
        <v>3.755523688</v>
      </c>
      <c r="H83" s="378">
        <f>H50*'Pomocná data V. PAF'!I15</f>
        <v>7.088669771</v>
      </c>
      <c r="I83" s="378">
        <f>I50*'Pomocná data V. PAF'!J15</f>
        <v>92.1</v>
      </c>
      <c r="J83" s="378">
        <f>J50*'Pomocná data V. PAF'!K15</f>
        <v>0</v>
      </c>
      <c r="K83" s="378">
        <f>K50*'Pomocná data V. PAF'!L15</f>
        <v>0</v>
      </c>
      <c r="L83" s="378">
        <f>L50*'Pomocná data V. PAF'!M15</f>
        <v>0</v>
      </c>
      <c r="M83" s="378">
        <f>M50*'Pomocná data V. PAF'!N15</f>
        <v>0</v>
      </c>
      <c r="N83" s="378">
        <f>N50*'Pomocná data V. PAF'!O15</f>
        <v>0</v>
      </c>
      <c r="O83" s="378">
        <f>O50*'Pomocná data V. PAF'!P15</f>
        <v>0</v>
      </c>
      <c r="P83" s="378">
        <f>P50*'Pomocná data V. PAF'!Q15</f>
        <v>0</v>
      </c>
      <c r="Q83" s="378">
        <f>Q50*'Pomocná data V. PAF'!R15</f>
        <v>12.38217168</v>
      </c>
      <c r="R83" s="378">
        <f>R50*'Pomocná data V. PAF'!S15</f>
        <v>0</v>
      </c>
      <c r="S83" s="378">
        <f>S50*'Pomocná data V. PAF'!T15</f>
        <v>0</v>
      </c>
      <c r="T83" s="378">
        <f>T50*'Pomocná data V. PAF'!U15</f>
        <v>10.53530396</v>
      </c>
      <c r="U83" s="378">
        <f>U50*'Pomocná data V. PAF'!V15</f>
        <v>11.12157666</v>
      </c>
      <c r="V83" s="24">
        <f t="shared" si="90"/>
        <v>197.7388961</v>
      </c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</row>
    <row r="84" ht="15.75" customHeight="1">
      <c r="A84" s="380" t="s">
        <v>451</v>
      </c>
      <c r="B84" s="378">
        <f>B51*'Pomocná data V. PAF'!C16</f>
        <v>6.883978726</v>
      </c>
      <c r="C84" s="378">
        <f>C51*'Pomocná data V. PAF'!D16</f>
        <v>0</v>
      </c>
      <c r="D84" s="378">
        <f>D51*'Pomocná data V. PAF'!E16</f>
        <v>43.70487196</v>
      </c>
      <c r="E84" s="378">
        <f>E51*'Pomocná data V. PAF'!F16</f>
        <v>97.84791094</v>
      </c>
      <c r="F84" s="378">
        <f>F51*'Pomocná data V. PAF'!G16</f>
        <v>0</v>
      </c>
      <c r="G84" s="378">
        <f>G51*'Pomocná data V. PAF'!H16</f>
        <v>7.191186466</v>
      </c>
      <c r="H84" s="378">
        <f>H51*'Pomocná data V. PAF'!I16</f>
        <v>13.3855126</v>
      </c>
      <c r="I84" s="378">
        <f>I51*'Pomocná data V. PAF'!J16</f>
        <v>77.1</v>
      </c>
      <c r="J84" s="378">
        <f>J51*'Pomocná data V. PAF'!K16</f>
        <v>6.883978726</v>
      </c>
      <c r="K84" s="378">
        <f>K51*'Pomocná data V. PAF'!L16</f>
        <v>0</v>
      </c>
      <c r="L84" s="378">
        <f>L51*'Pomocná data V. PAF'!M16</f>
        <v>28.06293281</v>
      </c>
      <c r="M84" s="378">
        <f>M51*'Pomocná data V. PAF'!N16</f>
        <v>0</v>
      </c>
      <c r="N84" s="378">
        <f>N51*'Pomocná data V. PAF'!O16</f>
        <v>12.14414639</v>
      </c>
      <c r="O84" s="378">
        <f>O51*'Pomocná data V. PAF'!P16</f>
        <v>0</v>
      </c>
      <c r="P84" s="378">
        <f>P51*'Pomocná data V. PAF'!Q16</f>
        <v>17.52283559</v>
      </c>
      <c r="Q84" s="378">
        <f>Q51*'Pomocná data V. PAF'!R16</f>
        <v>32.02888377</v>
      </c>
      <c r="R84" s="378">
        <f>R51*'Pomocná data V. PAF'!S16</f>
        <v>0</v>
      </c>
      <c r="S84" s="378">
        <f>S51*'Pomocná data V. PAF'!T16</f>
        <v>7.462368583</v>
      </c>
      <c r="T84" s="378">
        <f>T51*'Pomocná data V. PAF'!U16</f>
        <v>39.22553639</v>
      </c>
      <c r="U84" s="378">
        <f>U51*'Pomocná data V. PAF'!V16</f>
        <v>12.39273533</v>
      </c>
      <c r="V84" s="24">
        <f t="shared" si="90"/>
        <v>401.8368783</v>
      </c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</row>
    <row r="85" ht="15.75" customHeight="1">
      <c r="A85" s="380" t="s">
        <v>452</v>
      </c>
      <c r="B85" s="378">
        <f>B52*'Pomocná data V. PAF'!C17</f>
        <v>0</v>
      </c>
      <c r="C85" s="378">
        <f>C52*'Pomocná data V. PAF'!D17</f>
        <v>0</v>
      </c>
      <c r="D85" s="378">
        <f>D52*'Pomocná data V. PAF'!E17</f>
        <v>63.06030789</v>
      </c>
      <c r="E85" s="378">
        <f>E52*'Pomocná data V. PAF'!F17</f>
        <v>270.9213784</v>
      </c>
      <c r="F85" s="378">
        <f>F52*'Pomocná data V. PAF'!G17</f>
        <v>0</v>
      </c>
      <c r="G85" s="378">
        <f>G52*'Pomocná data V. PAF'!H17</f>
        <v>15.02214577</v>
      </c>
      <c r="H85" s="378">
        <f>H52*'Pomocná data V. PAF'!I17</f>
        <v>27.7087831</v>
      </c>
      <c r="I85" s="378">
        <f>I52*'Pomocná data V. PAF'!J17</f>
        <v>0</v>
      </c>
      <c r="J85" s="378">
        <f>J52*'Pomocná data V. PAF'!K17</f>
        <v>0</v>
      </c>
      <c r="K85" s="378">
        <f>K52*'Pomocná data V. PAF'!L17</f>
        <v>0</v>
      </c>
      <c r="L85" s="378">
        <f>L52*'Pomocná data V. PAF'!M17</f>
        <v>50.35421204</v>
      </c>
      <c r="M85" s="378">
        <f>M52*'Pomocná data V. PAF'!N17</f>
        <v>0</v>
      </c>
      <c r="N85" s="378">
        <f>N52*'Pomocná data V. PAF'!O17</f>
        <v>30.16941908</v>
      </c>
      <c r="O85" s="378">
        <f>O52*'Pomocná data V. PAF'!P17</f>
        <v>0</v>
      </c>
      <c r="P85" s="378">
        <f>P52*'Pomocná data V. PAF'!Q17</f>
        <v>64.4613129</v>
      </c>
      <c r="Q85" s="378">
        <f>Q52*'Pomocná data V. PAF'!R17</f>
        <v>46.71039942</v>
      </c>
      <c r="R85" s="378">
        <f>R52*'Pomocná data V. PAF'!S17</f>
        <v>0</v>
      </c>
      <c r="S85" s="378">
        <f>S52*'Pomocná data V. PAF'!T17</f>
        <v>7.031348931</v>
      </c>
      <c r="T85" s="378">
        <f>T52*'Pomocná data V. PAF'!U17</f>
        <v>51.20620498</v>
      </c>
      <c r="U85" s="378">
        <f>U52*'Pomocná data V. PAF'!V17</f>
        <v>19.23033708</v>
      </c>
      <c r="V85" s="24">
        <f t="shared" si="90"/>
        <v>645.8758496</v>
      </c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</row>
    <row r="86" ht="15.75" customHeight="1">
      <c r="A86" s="380" t="s">
        <v>453</v>
      </c>
      <c r="B86" s="378">
        <f>B53*'Pomocná data V. PAF'!C18</f>
        <v>0</v>
      </c>
      <c r="C86" s="378">
        <f>C53*'Pomocná data V. PAF'!D18</f>
        <v>0</v>
      </c>
      <c r="D86" s="378">
        <f>D53*'Pomocná data V. PAF'!E18</f>
        <v>91.06684659</v>
      </c>
      <c r="E86" s="378">
        <f>E53*'Pomocná data V. PAF'!F18</f>
        <v>392.6790777</v>
      </c>
      <c r="F86" s="378">
        <f>F53*'Pomocná data V. PAF'!G18</f>
        <v>0</v>
      </c>
      <c r="G86" s="378">
        <f>G53*'Pomocná data V. PAF'!H18</f>
        <v>11.91398032</v>
      </c>
      <c r="H86" s="378">
        <f>H53*'Pomocná data V. PAF'!I18</f>
        <v>21.7804836</v>
      </c>
      <c r="I86" s="378">
        <f>I53*'Pomocná data V. PAF'!J18</f>
        <v>47.1</v>
      </c>
      <c r="J86" s="378">
        <f>J53*'Pomocná data V. PAF'!K18</f>
        <v>5.631735842</v>
      </c>
      <c r="K86" s="378">
        <f>K53*'Pomocná data V. PAF'!L18</f>
        <v>0</v>
      </c>
      <c r="L86" s="378">
        <f>L53*'Pomocná data V. PAF'!M18</f>
        <v>90.25202971</v>
      </c>
      <c r="M86" s="378">
        <f>M53*'Pomocná data V. PAF'!N18</f>
        <v>0</v>
      </c>
      <c r="N86" s="378">
        <f>N53*'Pomocná data V. PAF'!O18</f>
        <v>51.67392738</v>
      </c>
      <c r="O86" s="378">
        <f>O53*'Pomocná data V. PAF'!P18</f>
        <v>0</v>
      </c>
      <c r="P86" s="378">
        <f>P53*'Pomocná data V. PAF'!Q18</f>
        <v>109.0770307</v>
      </c>
      <c r="Q86" s="378">
        <f>Q53*'Pomocná data V. PAF'!R18</f>
        <v>65.22235185</v>
      </c>
      <c r="R86" s="378">
        <f>R53*'Pomocná data V. PAF'!S18</f>
        <v>0</v>
      </c>
      <c r="S86" s="378">
        <f>S53*'Pomocná data V. PAF'!T18</f>
        <v>10.1465065</v>
      </c>
      <c r="T86" s="378">
        <f>T53*'Pomocná data V. PAF'!U18</f>
        <v>103.4569071</v>
      </c>
      <c r="U86" s="378">
        <f>U53*'Pomocná data V. PAF'!V18</f>
        <v>19.75125267</v>
      </c>
      <c r="V86" s="24">
        <f t="shared" si="90"/>
        <v>1019.75213</v>
      </c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</row>
    <row r="87" ht="15.75" customHeight="1">
      <c r="A87" s="380" t="s">
        <v>454</v>
      </c>
      <c r="B87" s="378">
        <f>B54*'Pomocná data V. PAF'!C19</f>
        <v>4.339158354</v>
      </c>
      <c r="C87" s="378">
        <f>C54*'Pomocná data V. PAF'!D19</f>
        <v>0</v>
      </c>
      <c r="D87" s="378">
        <f>D54*'Pomocná data V. PAF'!E19</f>
        <v>94.03262573</v>
      </c>
      <c r="E87" s="378">
        <f>E54*'Pomocná data V. PAF'!F19</f>
        <v>621.4636528</v>
      </c>
      <c r="F87" s="378">
        <f>F54*'Pomocná data V. PAF'!G19</f>
        <v>0</v>
      </c>
      <c r="G87" s="378">
        <f>G54*'Pomocná data V. PAF'!H19</f>
        <v>9.239358252</v>
      </c>
      <c r="H87" s="378">
        <f>H54*'Pomocná data V. PAF'!I19</f>
        <v>16.73396829</v>
      </c>
      <c r="I87" s="378">
        <f>I54*'Pomocná data V. PAF'!J19</f>
        <v>32.1</v>
      </c>
      <c r="J87" s="378">
        <f>J54*'Pomocná data V. PAF'!K19</f>
        <v>4.339158354</v>
      </c>
      <c r="K87" s="378">
        <f>K54*'Pomocná data V. PAF'!L19</f>
        <v>0</v>
      </c>
      <c r="L87" s="378">
        <f>L54*'Pomocná data V. PAF'!M19</f>
        <v>66.36360016</v>
      </c>
      <c r="M87" s="378">
        <f>M54*'Pomocná data V. PAF'!N19</f>
        <v>0</v>
      </c>
      <c r="N87" s="378">
        <f>N54*'Pomocná data V. PAF'!O19</f>
        <v>83.53776453</v>
      </c>
      <c r="O87" s="378">
        <f>O54*'Pomocná data V. PAF'!P19</f>
        <v>0</v>
      </c>
      <c r="P87" s="378">
        <f>P54*'Pomocná data V. PAF'!Q19</f>
        <v>157.1227491</v>
      </c>
      <c r="Q87" s="378">
        <f>Q54*'Pomocná data V. PAF'!R19</f>
        <v>65.91675617</v>
      </c>
      <c r="R87" s="378">
        <f>R54*'Pomocná data V. PAF'!S19</f>
        <v>0</v>
      </c>
      <c r="S87" s="378">
        <f>S54*'Pomocná data V. PAF'!T19</f>
        <v>15.61301026</v>
      </c>
      <c r="T87" s="378">
        <f>T54*'Pomocná data V. PAF'!U19</f>
        <v>140.8422887</v>
      </c>
      <c r="U87" s="378">
        <f>U54*'Pomocná data V. PAF'!V19</f>
        <v>80.09286163</v>
      </c>
      <c r="V87" s="24">
        <f t="shared" si="90"/>
        <v>1391.736952</v>
      </c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</row>
    <row r="88" ht="15.75" customHeight="1">
      <c r="A88" s="380" t="s">
        <v>455</v>
      </c>
      <c r="B88" s="378">
        <f>B55*'Pomocná data V. PAF'!C20</f>
        <v>2.338960512</v>
      </c>
      <c r="C88" s="378">
        <f>C55*'Pomocná data V. PAF'!D20</f>
        <v>0</v>
      </c>
      <c r="D88" s="378">
        <f>D55*'Pomocná data V. PAF'!E20</f>
        <v>174.1615231</v>
      </c>
      <c r="E88" s="378">
        <f>E55*'Pomocná data V. PAF'!F20</f>
        <v>535.4543926</v>
      </c>
      <c r="F88" s="378">
        <f>F55*'Pomocná data V. PAF'!G20</f>
        <v>0</v>
      </c>
      <c r="G88" s="378">
        <f>G55*'Pomocná data V. PAF'!H20</f>
        <v>6.478788294</v>
      </c>
      <c r="H88" s="378">
        <f>H55*'Pomocná data V. PAF'!I20</f>
        <v>11.72284974</v>
      </c>
      <c r="I88" s="378">
        <f>I55*'Pomocná data V. PAF'!J20</f>
        <v>17.1</v>
      </c>
      <c r="J88" s="378">
        <f>J55*'Pomocná data V. PAF'!K20</f>
        <v>0</v>
      </c>
      <c r="K88" s="378">
        <f>K55*'Pomocná data V. PAF'!L20</f>
        <v>0</v>
      </c>
      <c r="L88" s="378">
        <f>L55*'Pomocná data V. PAF'!M20</f>
        <v>57.5160821</v>
      </c>
      <c r="M88" s="378">
        <f>M55*'Pomocná data V. PAF'!N20</f>
        <v>0</v>
      </c>
      <c r="N88" s="378">
        <f>N55*'Pomocná data V. PAF'!O20</f>
        <v>64.81187633</v>
      </c>
      <c r="O88" s="378">
        <f>O55*'Pomocná data V. PAF'!P20</f>
        <v>0</v>
      </c>
      <c r="P88" s="378">
        <f>P55*'Pomocná data V. PAF'!Q20</f>
        <v>126.721899</v>
      </c>
      <c r="Q88" s="378">
        <f>Q55*'Pomocná data V. PAF'!R20</f>
        <v>62.07651797</v>
      </c>
      <c r="R88" s="378">
        <f>R55*'Pomocná data V. PAF'!S20</f>
        <v>0</v>
      </c>
      <c r="S88" s="378">
        <f>S55*'Pomocná data V. PAF'!T20</f>
        <v>11.78061703</v>
      </c>
      <c r="T88" s="378">
        <f>T55*'Pomocná data V. PAF'!U20</f>
        <v>115.6690109</v>
      </c>
      <c r="U88" s="378">
        <f>U55*'Pomocná data V. PAF'!V20</f>
        <v>61.97702094</v>
      </c>
      <c r="V88" s="24">
        <f t="shared" si="90"/>
        <v>1247.809538</v>
      </c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</row>
    <row r="89" ht="15.75" customHeight="1">
      <c r="A89" s="380" t="s">
        <v>456</v>
      </c>
      <c r="B89" s="378">
        <f>B56*'Pomocná data V. PAF'!C21</f>
        <v>0.2872407646</v>
      </c>
      <c r="C89" s="378">
        <f>C56*'Pomocná data V. PAF'!D21</f>
        <v>0</v>
      </c>
      <c r="D89" s="378">
        <f>D56*'Pomocná data V. PAF'!E21</f>
        <v>44.67769285</v>
      </c>
      <c r="E89" s="378">
        <f>E56*'Pomocná data V. PAF'!F21</f>
        <v>132.2490153</v>
      </c>
      <c r="F89" s="378">
        <f>F56*'Pomocná data V. PAF'!G21</f>
        <v>0</v>
      </c>
      <c r="G89" s="378">
        <f>G56*'Pomocná data V. PAF'!H21</f>
        <v>1.040453181</v>
      </c>
      <c r="H89" s="378">
        <f>H56*'Pomocná data V. PAF'!I21</f>
        <v>1.882616894</v>
      </c>
      <c r="I89" s="378">
        <f>I56*'Pomocná data V. PAF'!J21</f>
        <v>6.3</v>
      </c>
      <c r="J89" s="378">
        <f>J56*'Pomocná data V. PAF'!K21</f>
        <v>0.5744815293</v>
      </c>
      <c r="K89" s="378">
        <f>K56*'Pomocná data V. PAF'!L21</f>
        <v>0</v>
      </c>
      <c r="L89" s="378">
        <f>L56*'Pomocná data V. PAF'!M21</f>
        <v>11.09959479</v>
      </c>
      <c r="M89" s="378">
        <f>M56*'Pomocná data V. PAF'!N21</f>
        <v>0</v>
      </c>
      <c r="N89" s="378">
        <f>N56*'Pomocná data V. PAF'!O21</f>
        <v>11.69537618</v>
      </c>
      <c r="O89" s="378">
        <f>O56*'Pomocná data V. PAF'!P21</f>
        <v>0</v>
      </c>
      <c r="P89" s="378">
        <f>P56*'Pomocná data V. PAF'!Q21</f>
        <v>33.60562945</v>
      </c>
      <c r="Q89" s="378">
        <f>Q56*'Pomocná data V. PAF'!R21</f>
        <v>16.33592578</v>
      </c>
      <c r="R89" s="378">
        <f>R56*'Pomocná data V. PAF'!S21</f>
        <v>0</v>
      </c>
      <c r="S89" s="378">
        <f>S56*'Pomocná data V. PAF'!T21</f>
        <v>3.306839869</v>
      </c>
      <c r="T89" s="378">
        <f>T56*'Pomocná data V. PAF'!U21</f>
        <v>29.04126433</v>
      </c>
      <c r="U89" s="378">
        <f>U56*'Pomocná data V. PAF'!V21</f>
        <v>14.72604273</v>
      </c>
      <c r="V89" s="24">
        <f t="shared" si="90"/>
        <v>306.8221736</v>
      </c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</row>
    <row r="90" ht="15.75" customHeight="1">
      <c r="A90" s="13" t="s">
        <v>68</v>
      </c>
      <c r="B90" s="501">
        <f t="shared" ref="B90:U90" si="91">SUM(B80:B89)</f>
        <v>13.84933836</v>
      </c>
      <c r="C90" s="501">
        <f t="shared" si="91"/>
        <v>0</v>
      </c>
      <c r="D90" s="501">
        <f t="shared" si="91"/>
        <v>597.9156312</v>
      </c>
      <c r="E90" s="501">
        <f t="shared" si="91"/>
        <v>2074.983013</v>
      </c>
      <c r="F90" s="501">
        <f t="shared" si="91"/>
        <v>0</v>
      </c>
      <c r="G90" s="501">
        <f t="shared" si="91"/>
        <v>60.03961505</v>
      </c>
      <c r="H90" s="501">
        <f t="shared" si="91"/>
        <v>110.6463346</v>
      </c>
      <c r="I90" s="501">
        <f t="shared" si="91"/>
        <v>271.8</v>
      </c>
      <c r="J90" s="501">
        <f t="shared" si="91"/>
        <v>21.16187562</v>
      </c>
      <c r="K90" s="501">
        <f t="shared" si="91"/>
        <v>0</v>
      </c>
      <c r="L90" s="501">
        <f t="shared" si="91"/>
        <v>327.6651912</v>
      </c>
      <c r="M90" s="501">
        <f t="shared" si="91"/>
        <v>0</v>
      </c>
      <c r="N90" s="501">
        <f t="shared" si="91"/>
        <v>258.8068207</v>
      </c>
      <c r="O90" s="501">
        <f t="shared" si="91"/>
        <v>0</v>
      </c>
      <c r="P90" s="501">
        <f t="shared" si="91"/>
        <v>508.5114568</v>
      </c>
      <c r="Q90" s="501">
        <f t="shared" si="91"/>
        <v>319.1873527</v>
      </c>
      <c r="R90" s="501">
        <f t="shared" si="91"/>
        <v>0</v>
      </c>
      <c r="S90" s="501">
        <f t="shared" si="91"/>
        <v>55.34069118</v>
      </c>
      <c r="T90" s="501">
        <f t="shared" si="91"/>
        <v>510.1998561</v>
      </c>
      <c r="U90" s="501">
        <f t="shared" si="91"/>
        <v>219.291827</v>
      </c>
      <c r="V90" s="503">
        <f t="shared" si="90"/>
        <v>5349.399003</v>
      </c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</row>
    <row r="91" ht="15.75" customHeight="1"/>
    <row r="92" ht="15.75" customHeight="1">
      <c r="A92" s="376" t="s">
        <v>605</v>
      </c>
      <c r="D92" s="376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  <c r="AA92" s="376"/>
      <c r="AB92" s="376"/>
      <c r="AC92" s="376"/>
      <c r="AD92" s="376"/>
      <c r="AE92" s="376"/>
      <c r="AF92" s="376"/>
      <c r="AG92" s="376"/>
      <c r="AH92" s="376"/>
      <c r="AI92" s="376"/>
      <c r="AJ92" s="376"/>
      <c r="AK92" s="376"/>
      <c r="AL92" s="376"/>
      <c r="AM92" s="376"/>
      <c r="AN92" s="376"/>
      <c r="AO92" s="376"/>
      <c r="AP92" s="376"/>
      <c r="AQ92" s="376"/>
      <c r="AR92" s="376"/>
      <c r="AS92" s="376"/>
    </row>
    <row r="93" ht="15.75" customHeight="1">
      <c r="A93" s="262" t="s">
        <v>468</v>
      </c>
      <c r="B93" s="504" t="s">
        <v>288</v>
      </c>
      <c r="C93" s="504" t="s">
        <v>405</v>
      </c>
      <c r="D93" s="504" t="s">
        <v>469</v>
      </c>
      <c r="E93" s="504" t="s">
        <v>294</v>
      </c>
      <c r="F93" s="504" t="s">
        <v>296</v>
      </c>
      <c r="G93" s="504" t="s">
        <v>298</v>
      </c>
      <c r="H93" s="504" t="s">
        <v>300</v>
      </c>
      <c r="I93" s="504" t="s">
        <v>89</v>
      </c>
      <c r="J93" s="504" t="s">
        <v>303</v>
      </c>
      <c r="K93" s="504" t="s">
        <v>470</v>
      </c>
      <c r="L93" s="504" t="s">
        <v>307</v>
      </c>
      <c r="M93" s="504" t="s">
        <v>406</v>
      </c>
      <c r="N93" s="504" t="s">
        <v>311</v>
      </c>
      <c r="O93" s="504" t="s">
        <v>313</v>
      </c>
      <c r="P93" s="504" t="s">
        <v>315</v>
      </c>
      <c r="Q93" s="504" t="s">
        <v>407</v>
      </c>
      <c r="R93" s="504" t="s">
        <v>319</v>
      </c>
      <c r="S93" s="504" t="s">
        <v>321</v>
      </c>
      <c r="T93" s="504" t="s">
        <v>323</v>
      </c>
      <c r="U93" s="504" t="s">
        <v>408</v>
      </c>
      <c r="V93" s="198"/>
      <c r="W93" s="14"/>
      <c r="X93" s="14"/>
      <c r="Y93" s="14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</row>
    <row r="94" ht="15.75" customHeight="1">
      <c r="A94" s="381" t="s">
        <v>447</v>
      </c>
      <c r="B94" s="149">
        <f t="shared" ref="B94:U94" si="92">B63-B80</f>
        <v>0</v>
      </c>
      <c r="C94" s="149">
        <f t="shared" si="92"/>
        <v>0</v>
      </c>
      <c r="D94" s="149">
        <f t="shared" si="92"/>
        <v>0</v>
      </c>
      <c r="E94" s="149">
        <f t="shared" si="92"/>
        <v>0</v>
      </c>
      <c r="F94" s="149">
        <f t="shared" si="92"/>
        <v>0</v>
      </c>
      <c r="G94" s="149">
        <f t="shared" si="92"/>
        <v>0</v>
      </c>
      <c r="H94" s="149">
        <f t="shared" si="92"/>
        <v>0</v>
      </c>
      <c r="I94" s="149">
        <f t="shared" si="92"/>
        <v>0</v>
      </c>
      <c r="J94" s="149">
        <f t="shared" si="92"/>
        <v>0</v>
      </c>
      <c r="K94" s="149">
        <f t="shared" si="92"/>
        <v>0</v>
      </c>
      <c r="L94" s="149">
        <f t="shared" si="92"/>
        <v>0</v>
      </c>
      <c r="M94" s="149">
        <f t="shared" si="92"/>
        <v>0</v>
      </c>
      <c r="N94" s="149">
        <f t="shared" si="92"/>
        <v>1.640189947</v>
      </c>
      <c r="O94" s="149">
        <f t="shared" si="92"/>
        <v>0</v>
      </c>
      <c r="P94" s="149">
        <f t="shared" si="92"/>
        <v>0</v>
      </c>
      <c r="Q94" s="149">
        <f t="shared" si="92"/>
        <v>0</v>
      </c>
      <c r="R94" s="149">
        <f t="shared" si="92"/>
        <v>0</v>
      </c>
      <c r="S94" s="149">
        <f t="shared" si="92"/>
        <v>0</v>
      </c>
      <c r="T94" s="149">
        <f t="shared" si="92"/>
        <v>1.582198771</v>
      </c>
      <c r="U94" s="149">
        <f t="shared" si="92"/>
        <v>0</v>
      </c>
      <c r="V94" s="198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</row>
    <row r="95" ht="15.75" customHeight="1">
      <c r="A95" s="381" t="s">
        <v>448</v>
      </c>
      <c r="B95" s="149">
        <f t="shared" ref="B95:U95" si="93">B64-B81</f>
        <v>0</v>
      </c>
      <c r="C95" s="149">
        <f t="shared" si="93"/>
        <v>0</v>
      </c>
      <c r="D95" s="149">
        <f t="shared" si="93"/>
        <v>0</v>
      </c>
      <c r="E95" s="149">
        <f t="shared" si="93"/>
        <v>0</v>
      </c>
      <c r="F95" s="149">
        <f t="shared" si="93"/>
        <v>0</v>
      </c>
      <c r="G95" s="149">
        <f t="shared" si="93"/>
        <v>0.8868507131</v>
      </c>
      <c r="H95" s="149">
        <f t="shared" si="93"/>
        <v>1.708849046</v>
      </c>
      <c r="I95" s="149">
        <f t="shared" si="93"/>
        <v>0</v>
      </c>
      <c r="J95" s="149">
        <f t="shared" si="93"/>
        <v>1.448988561</v>
      </c>
      <c r="K95" s="149">
        <f t="shared" si="93"/>
        <v>0</v>
      </c>
      <c r="L95" s="149">
        <f t="shared" si="93"/>
        <v>0</v>
      </c>
      <c r="M95" s="149">
        <f t="shared" si="93"/>
        <v>0</v>
      </c>
      <c r="N95" s="149">
        <f t="shared" si="93"/>
        <v>0</v>
      </c>
      <c r="O95" s="149">
        <f t="shared" si="93"/>
        <v>0</v>
      </c>
      <c r="P95" s="149">
        <f t="shared" si="93"/>
        <v>0</v>
      </c>
      <c r="Q95" s="149">
        <f t="shared" si="93"/>
        <v>3.087129947</v>
      </c>
      <c r="R95" s="149">
        <f t="shared" si="93"/>
        <v>0</v>
      </c>
      <c r="S95" s="149">
        <f t="shared" si="93"/>
        <v>0</v>
      </c>
      <c r="T95" s="149">
        <f t="shared" si="93"/>
        <v>2.595664503</v>
      </c>
      <c r="U95" s="149">
        <f t="shared" si="93"/>
        <v>0</v>
      </c>
      <c r="V95" s="198"/>
      <c r="W95" s="14"/>
      <c r="X95" s="14"/>
      <c r="Y95" s="14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</row>
    <row r="96" ht="15.75" customHeight="1">
      <c r="A96" s="381" t="s">
        <v>449</v>
      </c>
      <c r="B96" s="149">
        <f t="shared" ref="B96:U96" si="94">B65-B82</f>
        <v>0</v>
      </c>
      <c r="C96" s="149">
        <f t="shared" si="94"/>
        <v>0</v>
      </c>
      <c r="D96" s="149">
        <f t="shared" si="94"/>
        <v>19.1027318</v>
      </c>
      <c r="E96" s="149">
        <f t="shared" si="94"/>
        <v>3.675396151</v>
      </c>
      <c r="F96" s="149">
        <f t="shared" si="94"/>
        <v>0</v>
      </c>
      <c r="G96" s="149">
        <f t="shared" si="94"/>
        <v>1.39549425</v>
      </c>
      <c r="H96" s="149">
        <f t="shared" si="94"/>
        <v>2.662875979</v>
      </c>
      <c r="I96" s="149">
        <f t="shared" si="94"/>
        <v>0</v>
      </c>
      <c r="J96" s="149">
        <f t="shared" si="94"/>
        <v>0</v>
      </c>
      <c r="K96" s="149">
        <f t="shared" si="94"/>
        <v>0</v>
      </c>
      <c r="L96" s="149">
        <f t="shared" si="94"/>
        <v>10.76380487</v>
      </c>
      <c r="M96" s="149">
        <f t="shared" si="94"/>
        <v>0</v>
      </c>
      <c r="N96" s="149">
        <f t="shared" si="94"/>
        <v>0</v>
      </c>
      <c r="O96" s="149">
        <f t="shared" si="94"/>
        <v>0</v>
      </c>
      <c r="P96" s="149">
        <f t="shared" si="94"/>
        <v>0</v>
      </c>
      <c r="Q96" s="149">
        <f t="shared" si="94"/>
        <v>4.733694387</v>
      </c>
      <c r="R96" s="149">
        <f t="shared" si="94"/>
        <v>0</v>
      </c>
      <c r="S96" s="149">
        <f t="shared" si="94"/>
        <v>0</v>
      </c>
      <c r="T96" s="149">
        <f t="shared" si="94"/>
        <v>4.002927027</v>
      </c>
      <c r="U96" s="149">
        <f t="shared" si="94"/>
        <v>0</v>
      </c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</row>
    <row r="97" ht="15.75" customHeight="1">
      <c r="A97" s="381" t="s">
        <v>450</v>
      </c>
      <c r="B97" s="149">
        <f t="shared" ref="B97:U97" si="95">B66-B83</f>
        <v>0</v>
      </c>
      <c r="C97" s="149">
        <f t="shared" si="95"/>
        <v>0</v>
      </c>
      <c r="D97" s="149">
        <f t="shared" si="95"/>
        <v>23.52893954</v>
      </c>
      <c r="E97" s="149">
        <f t="shared" si="95"/>
        <v>8.531045342</v>
      </c>
      <c r="F97" s="149">
        <f t="shared" si="95"/>
        <v>0</v>
      </c>
      <c r="G97" s="149">
        <f t="shared" si="95"/>
        <v>1.981742142</v>
      </c>
      <c r="H97" s="149">
        <f t="shared" si="95"/>
        <v>3.740600987</v>
      </c>
      <c r="I97" s="149">
        <f t="shared" si="95"/>
        <v>48.6</v>
      </c>
      <c r="J97" s="149">
        <f t="shared" si="95"/>
        <v>0</v>
      </c>
      <c r="K97" s="149">
        <f t="shared" si="95"/>
        <v>0</v>
      </c>
      <c r="L97" s="149">
        <f t="shared" si="95"/>
        <v>0</v>
      </c>
      <c r="M97" s="149">
        <f t="shared" si="95"/>
        <v>0</v>
      </c>
      <c r="N97" s="149">
        <f t="shared" si="95"/>
        <v>0</v>
      </c>
      <c r="O97" s="149">
        <f t="shared" si="95"/>
        <v>0</v>
      </c>
      <c r="P97" s="149">
        <f t="shared" si="95"/>
        <v>0</v>
      </c>
      <c r="Q97" s="149">
        <f t="shared" si="95"/>
        <v>6.533914699</v>
      </c>
      <c r="R97" s="149">
        <f t="shared" si="95"/>
        <v>0</v>
      </c>
      <c r="S97" s="149">
        <f t="shared" si="95"/>
        <v>0</v>
      </c>
      <c r="T97" s="149">
        <f t="shared" si="95"/>
        <v>5.559346065</v>
      </c>
      <c r="U97" s="149">
        <f t="shared" si="95"/>
        <v>5.86871472</v>
      </c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</row>
    <row r="98" ht="15.75" customHeight="1">
      <c r="A98" s="381" t="s">
        <v>451</v>
      </c>
      <c r="B98" s="149">
        <f t="shared" ref="B98:U98" si="96">B67-B84</f>
        <v>4.392889148</v>
      </c>
      <c r="C98" s="149">
        <f t="shared" si="96"/>
        <v>0</v>
      </c>
      <c r="D98" s="149">
        <f t="shared" si="96"/>
        <v>27.88949028</v>
      </c>
      <c r="E98" s="149">
        <f t="shared" si="96"/>
        <v>62.43991204</v>
      </c>
      <c r="F98" s="149">
        <f t="shared" si="96"/>
        <v>0</v>
      </c>
      <c r="G98" s="149">
        <f t="shared" si="96"/>
        <v>4.588928329</v>
      </c>
      <c r="H98" s="149">
        <f t="shared" si="96"/>
        <v>8.541727882</v>
      </c>
      <c r="I98" s="149">
        <f t="shared" si="96"/>
        <v>49.2</v>
      </c>
      <c r="J98" s="149">
        <f t="shared" si="96"/>
        <v>4.392889148</v>
      </c>
      <c r="K98" s="149">
        <f t="shared" si="96"/>
        <v>0</v>
      </c>
      <c r="L98" s="149">
        <f t="shared" si="96"/>
        <v>17.90786374</v>
      </c>
      <c r="M98" s="149">
        <f t="shared" si="96"/>
        <v>0</v>
      </c>
      <c r="N98" s="149">
        <f t="shared" si="96"/>
        <v>7.749572016</v>
      </c>
      <c r="O98" s="149">
        <f t="shared" si="96"/>
        <v>0</v>
      </c>
      <c r="P98" s="149">
        <f t="shared" si="96"/>
        <v>11.18188731</v>
      </c>
      <c r="Q98" s="149">
        <f t="shared" si="96"/>
        <v>20.43866513</v>
      </c>
      <c r="R98" s="149">
        <f t="shared" si="96"/>
        <v>0</v>
      </c>
      <c r="S98" s="149">
        <f t="shared" si="96"/>
        <v>4.761978395</v>
      </c>
      <c r="T98" s="149">
        <f t="shared" si="96"/>
        <v>25.03108158</v>
      </c>
      <c r="U98" s="149">
        <f t="shared" si="96"/>
        <v>7.908204646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</row>
    <row r="99" ht="15.75" customHeight="1">
      <c r="A99" s="381" t="s">
        <v>452</v>
      </c>
      <c r="B99" s="149">
        <f t="shared" ref="B99:U99" si="97">B68-B85</f>
        <v>0</v>
      </c>
      <c r="C99" s="149">
        <f t="shared" si="97"/>
        <v>0</v>
      </c>
      <c r="D99" s="149">
        <f t="shared" si="97"/>
        <v>50.87474115</v>
      </c>
      <c r="E99" s="149">
        <f t="shared" si="97"/>
        <v>218.5694212</v>
      </c>
      <c r="F99" s="149">
        <f t="shared" si="97"/>
        <v>0</v>
      </c>
      <c r="G99" s="149">
        <f t="shared" si="97"/>
        <v>12.11931567</v>
      </c>
      <c r="H99" s="149">
        <f t="shared" si="97"/>
        <v>22.35442888</v>
      </c>
      <c r="I99" s="149">
        <f t="shared" si="97"/>
        <v>0</v>
      </c>
      <c r="J99" s="149">
        <f t="shared" si="97"/>
        <v>0</v>
      </c>
      <c r="K99" s="149">
        <f t="shared" si="97"/>
        <v>0</v>
      </c>
      <c r="L99" s="149">
        <f t="shared" si="97"/>
        <v>40.62392952</v>
      </c>
      <c r="M99" s="149">
        <f t="shared" si="97"/>
        <v>0</v>
      </c>
      <c r="N99" s="149">
        <f t="shared" si="97"/>
        <v>24.33957964</v>
      </c>
      <c r="O99" s="149">
        <f t="shared" si="97"/>
        <v>0</v>
      </c>
      <c r="P99" s="149">
        <f t="shared" si="97"/>
        <v>52.00502055</v>
      </c>
      <c r="Q99" s="149">
        <f t="shared" si="97"/>
        <v>37.68423528</v>
      </c>
      <c r="R99" s="149">
        <f t="shared" si="97"/>
        <v>0</v>
      </c>
      <c r="S99" s="149">
        <f t="shared" si="97"/>
        <v>5.672634161</v>
      </c>
      <c r="T99" s="149">
        <f t="shared" si="97"/>
        <v>41.31128614</v>
      </c>
      <c r="U99" s="149">
        <f t="shared" si="97"/>
        <v>15.51432991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</row>
    <row r="100" ht="15.75" customHeight="1">
      <c r="A100" s="381" t="s">
        <v>453</v>
      </c>
      <c r="B100" s="149">
        <f t="shared" ref="B100:U100" si="98">B69-B86</f>
        <v>0</v>
      </c>
      <c r="C100" s="149">
        <f t="shared" si="98"/>
        <v>0</v>
      </c>
      <c r="D100" s="149">
        <f t="shared" si="98"/>
        <v>98.60741351</v>
      </c>
      <c r="E100" s="149">
        <f t="shared" si="98"/>
        <v>425.1939058</v>
      </c>
      <c r="F100" s="149">
        <f t="shared" si="98"/>
        <v>0</v>
      </c>
      <c r="G100" s="149">
        <f t="shared" si="98"/>
        <v>12.90048824</v>
      </c>
      <c r="H100" s="149">
        <f t="shared" si="98"/>
        <v>23.58396314</v>
      </c>
      <c r="I100" s="149">
        <f t="shared" si="98"/>
        <v>51</v>
      </c>
      <c r="J100" s="149">
        <f t="shared" si="98"/>
        <v>6.098057918</v>
      </c>
      <c r="K100" s="149">
        <f t="shared" si="98"/>
        <v>0</v>
      </c>
      <c r="L100" s="149">
        <f t="shared" si="98"/>
        <v>97.72512771</v>
      </c>
      <c r="M100" s="149">
        <f t="shared" si="98"/>
        <v>0</v>
      </c>
      <c r="N100" s="149">
        <f t="shared" si="98"/>
        <v>55.95266022</v>
      </c>
      <c r="O100" s="149">
        <f t="shared" si="98"/>
        <v>0</v>
      </c>
      <c r="P100" s="149">
        <f t="shared" si="98"/>
        <v>118.1088868</v>
      </c>
      <c r="Q100" s="149">
        <f t="shared" si="98"/>
        <v>70.62292875</v>
      </c>
      <c r="R100" s="149">
        <f t="shared" si="98"/>
        <v>0</v>
      </c>
      <c r="S100" s="149">
        <f t="shared" si="98"/>
        <v>10.98666309</v>
      </c>
      <c r="T100" s="149">
        <f t="shared" si="98"/>
        <v>112.0234025</v>
      </c>
      <c r="U100" s="149">
        <f t="shared" si="98"/>
        <v>21.38670671</v>
      </c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</row>
    <row r="101" ht="15.75" customHeight="1">
      <c r="A101" s="381" t="s">
        <v>454</v>
      </c>
      <c r="B101" s="149">
        <f t="shared" ref="B101:U101" si="99">B70-B87</f>
        <v>7.096754317</v>
      </c>
      <c r="C101" s="149">
        <f t="shared" si="99"/>
        <v>0</v>
      </c>
      <c r="D101" s="149">
        <f t="shared" si="99"/>
        <v>153.7916776</v>
      </c>
      <c r="E101" s="149">
        <f t="shared" si="99"/>
        <v>1016.412516</v>
      </c>
      <c r="F101" s="149">
        <f t="shared" si="99"/>
        <v>0</v>
      </c>
      <c r="G101" s="149">
        <f t="shared" si="99"/>
        <v>15.11109994</v>
      </c>
      <c r="H101" s="149">
        <f t="shared" si="99"/>
        <v>27.36863972</v>
      </c>
      <c r="I101" s="149">
        <f t="shared" si="99"/>
        <v>52.5</v>
      </c>
      <c r="J101" s="149">
        <f t="shared" si="99"/>
        <v>7.096754317</v>
      </c>
      <c r="K101" s="149">
        <f t="shared" si="99"/>
        <v>0</v>
      </c>
      <c r="L101" s="149">
        <f t="shared" si="99"/>
        <v>108.5385984</v>
      </c>
      <c r="M101" s="149">
        <f t="shared" si="99"/>
        <v>0</v>
      </c>
      <c r="N101" s="149">
        <f t="shared" si="99"/>
        <v>136.627185</v>
      </c>
      <c r="O101" s="149">
        <f t="shared" si="99"/>
        <v>0</v>
      </c>
      <c r="P101" s="149">
        <f t="shared" si="99"/>
        <v>256.9764588</v>
      </c>
      <c r="Q101" s="149">
        <f t="shared" si="99"/>
        <v>107.8077788</v>
      </c>
      <c r="R101" s="149">
        <f t="shared" si="99"/>
        <v>0</v>
      </c>
      <c r="S101" s="149">
        <f t="shared" si="99"/>
        <v>25.53529716</v>
      </c>
      <c r="T101" s="149">
        <f t="shared" si="99"/>
        <v>230.3495375</v>
      </c>
      <c r="U101" s="149">
        <f t="shared" si="99"/>
        <v>130.992998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</row>
    <row r="102" ht="15.75" customHeight="1">
      <c r="A102" s="381" t="s">
        <v>455</v>
      </c>
      <c r="B102" s="149">
        <f t="shared" ref="B102:U102" si="100">B71-B88</f>
        <v>7.468259881</v>
      </c>
      <c r="C102" s="149">
        <f t="shared" si="100"/>
        <v>0</v>
      </c>
      <c r="D102" s="149">
        <f t="shared" si="100"/>
        <v>556.0946876</v>
      </c>
      <c r="E102" s="149">
        <f t="shared" si="100"/>
        <v>1709.696482</v>
      </c>
      <c r="F102" s="149">
        <f t="shared" si="100"/>
        <v>0</v>
      </c>
      <c r="G102" s="149">
        <f t="shared" si="100"/>
        <v>20.68665736</v>
      </c>
      <c r="H102" s="149">
        <f t="shared" si="100"/>
        <v>37.43085354</v>
      </c>
      <c r="I102" s="149">
        <f t="shared" si="100"/>
        <v>54.6</v>
      </c>
      <c r="J102" s="149">
        <f t="shared" si="100"/>
        <v>0</v>
      </c>
      <c r="K102" s="149">
        <f t="shared" si="100"/>
        <v>0</v>
      </c>
      <c r="L102" s="149">
        <f t="shared" si="100"/>
        <v>183.6478411</v>
      </c>
      <c r="M102" s="149">
        <f t="shared" si="100"/>
        <v>0</v>
      </c>
      <c r="N102" s="149">
        <f t="shared" si="100"/>
        <v>206.9431841</v>
      </c>
      <c r="O102" s="149">
        <f t="shared" si="100"/>
        <v>0</v>
      </c>
      <c r="P102" s="149">
        <f t="shared" si="100"/>
        <v>404.6208003</v>
      </c>
      <c r="Q102" s="149">
        <f t="shared" si="100"/>
        <v>198.2092328</v>
      </c>
      <c r="R102" s="149">
        <f t="shared" si="100"/>
        <v>0</v>
      </c>
      <c r="S102" s="149">
        <f t="shared" si="100"/>
        <v>37.61530351</v>
      </c>
      <c r="T102" s="149">
        <f t="shared" si="100"/>
        <v>369.3291225</v>
      </c>
      <c r="U102" s="149">
        <f t="shared" si="100"/>
        <v>197.8915405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</row>
    <row r="103" ht="15.75" customHeight="1">
      <c r="A103" s="381" t="s">
        <v>456</v>
      </c>
      <c r="B103" s="149">
        <f t="shared" ref="B103:U103" si="101">B72-B89</f>
        <v>7.837569435</v>
      </c>
      <c r="C103" s="149">
        <f t="shared" si="101"/>
        <v>0</v>
      </c>
      <c r="D103" s="149">
        <f t="shared" si="101"/>
        <v>1219.062762</v>
      </c>
      <c r="E103" s="149">
        <f t="shared" si="101"/>
        <v>3608.508845</v>
      </c>
      <c r="F103" s="149">
        <f t="shared" si="101"/>
        <v>0</v>
      </c>
      <c r="G103" s="149">
        <f t="shared" si="101"/>
        <v>28.38950822</v>
      </c>
      <c r="H103" s="149">
        <f t="shared" si="101"/>
        <v>51.36854668</v>
      </c>
      <c r="I103" s="149">
        <f t="shared" si="101"/>
        <v>171.9</v>
      </c>
      <c r="J103" s="149">
        <f t="shared" si="101"/>
        <v>15.67513887</v>
      </c>
      <c r="K103" s="149">
        <f t="shared" si="101"/>
        <v>0</v>
      </c>
      <c r="L103" s="149">
        <f t="shared" si="101"/>
        <v>302.8603722</v>
      </c>
      <c r="M103" s="149">
        <f t="shared" si="101"/>
        <v>0</v>
      </c>
      <c r="N103" s="149">
        <f t="shared" si="101"/>
        <v>319.1166929</v>
      </c>
      <c r="O103" s="149">
        <f t="shared" si="101"/>
        <v>0</v>
      </c>
      <c r="P103" s="149">
        <f t="shared" si="101"/>
        <v>916.9536037</v>
      </c>
      <c r="Q103" s="149">
        <f t="shared" si="101"/>
        <v>445.7374035</v>
      </c>
      <c r="R103" s="149">
        <f t="shared" si="101"/>
        <v>0</v>
      </c>
      <c r="S103" s="149">
        <f t="shared" si="101"/>
        <v>90.22948785</v>
      </c>
      <c r="T103" s="149">
        <f t="shared" si="101"/>
        <v>792.4116411</v>
      </c>
      <c r="U103" s="149">
        <f t="shared" si="101"/>
        <v>401.8105946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</row>
    <row r="104" ht="15.75" customHeight="1">
      <c r="A104" s="381" t="s">
        <v>457</v>
      </c>
      <c r="B104" s="149">
        <f t="shared" ref="B104:U104" si="102">B73</f>
        <v>14.06123558</v>
      </c>
      <c r="C104" s="149">
        <f t="shared" si="102"/>
        <v>0</v>
      </c>
      <c r="D104" s="149">
        <f t="shared" si="102"/>
        <v>2188.254414</v>
      </c>
      <c r="E104" s="149">
        <f t="shared" si="102"/>
        <v>3670.49542</v>
      </c>
      <c r="F104" s="149">
        <f t="shared" si="102"/>
        <v>0</v>
      </c>
      <c r="G104" s="149">
        <f t="shared" si="102"/>
        <v>45.53897216</v>
      </c>
      <c r="H104" s="149">
        <f t="shared" si="102"/>
        <v>83.76962064</v>
      </c>
      <c r="I104" s="149">
        <f t="shared" si="102"/>
        <v>112.7</v>
      </c>
      <c r="J104" s="149">
        <f t="shared" si="102"/>
        <v>24.60716226</v>
      </c>
      <c r="K104" s="149">
        <f t="shared" si="102"/>
        <v>0</v>
      </c>
      <c r="L104" s="149">
        <f t="shared" si="102"/>
        <v>355.8504999</v>
      </c>
      <c r="M104" s="149">
        <f t="shared" si="102"/>
        <v>0</v>
      </c>
      <c r="N104" s="149">
        <f t="shared" si="102"/>
        <v>369.028913</v>
      </c>
      <c r="O104" s="149">
        <f t="shared" si="102"/>
        <v>0</v>
      </c>
      <c r="P104" s="149">
        <f t="shared" si="102"/>
        <v>913.2042664</v>
      </c>
      <c r="Q104" s="149">
        <f t="shared" si="102"/>
        <v>699.7846154</v>
      </c>
      <c r="R104" s="149">
        <f t="shared" si="102"/>
        <v>0</v>
      </c>
      <c r="S104" s="149">
        <f t="shared" si="102"/>
        <v>106.5032144</v>
      </c>
      <c r="T104" s="149">
        <f t="shared" si="102"/>
        <v>789.9867812</v>
      </c>
      <c r="U104" s="149">
        <f t="shared" si="102"/>
        <v>472.6962078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</row>
    <row r="105" ht="15.75" customHeight="1">
      <c r="A105" s="381" t="s">
        <v>458</v>
      </c>
      <c r="B105" s="149">
        <f t="shared" ref="B105:U105" si="103">B74</f>
        <v>7.711288251</v>
      </c>
      <c r="C105" s="149">
        <f t="shared" si="103"/>
        <v>0</v>
      </c>
      <c r="D105" s="149">
        <f t="shared" si="103"/>
        <v>2223.069911</v>
      </c>
      <c r="E105" s="149">
        <f t="shared" si="103"/>
        <v>3542.98291</v>
      </c>
      <c r="F105" s="149">
        <f t="shared" si="103"/>
        <v>0</v>
      </c>
      <c r="G105" s="149">
        <f t="shared" si="103"/>
        <v>35.59470119</v>
      </c>
      <c r="H105" s="149">
        <f t="shared" si="103"/>
        <v>65.84970828</v>
      </c>
      <c r="I105" s="149">
        <f t="shared" si="103"/>
        <v>64.5</v>
      </c>
      <c r="J105" s="149">
        <f t="shared" si="103"/>
        <v>25.70429417</v>
      </c>
      <c r="K105" s="149">
        <f t="shared" si="103"/>
        <v>17.47668909</v>
      </c>
      <c r="L105" s="149">
        <f t="shared" si="103"/>
        <v>334.1167195</v>
      </c>
      <c r="M105" s="149">
        <f t="shared" si="103"/>
        <v>0</v>
      </c>
      <c r="N105" s="149">
        <f t="shared" si="103"/>
        <v>328.173523</v>
      </c>
      <c r="O105" s="149">
        <f t="shared" si="103"/>
        <v>0</v>
      </c>
      <c r="P105" s="149">
        <f t="shared" si="103"/>
        <v>733.0255803</v>
      </c>
      <c r="Q105" s="149">
        <f t="shared" si="103"/>
        <v>575.2438046</v>
      </c>
      <c r="R105" s="149">
        <f t="shared" si="103"/>
        <v>0</v>
      </c>
      <c r="S105" s="149">
        <f t="shared" si="103"/>
        <v>61.24227855</v>
      </c>
      <c r="T105" s="149">
        <f t="shared" si="103"/>
        <v>797.6684632</v>
      </c>
      <c r="U105" s="149">
        <f t="shared" si="103"/>
        <v>488.375569</v>
      </c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</row>
    <row r="106" ht="15.75" customHeight="1">
      <c r="A106" s="381" t="s">
        <v>459</v>
      </c>
      <c r="B106" s="149">
        <f t="shared" ref="B106:U106" si="104">B75</f>
        <v>13.1705353</v>
      </c>
      <c r="C106" s="149">
        <f t="shared" si="104"/>
        <v>4.176617214</v>
      </c>
      <c r="D106" s="149">
        <f t="shared" si="104"/>
        <v>3068.529553</v>
      </c>
      <c r="E106" s="149">
        <f t="shared" si="104"/>
        <v>5088.13988</v>
      </c>
      <c r="F106" s="149">
        <f t="shared" si="104"/>
        <v>0</v>
      </c>
      <c r="G106" s="149">
        <f t="shared" si="104"/>
        <v>29.31084255</v>
      </c>
      <c r="H106" s="149">
        <f t="shared" si="104"/>
        <v>54.86205871</v>
      </c>
      <c r="I106" s="149">
        <f t="shared" si="104"/>
        <v>0</v>
      </c>
      <c r="J106" s="149">
        <f t="shared" si="104"/>
        <v>36.74643284</v>
      </c>
      <c r="K106" s="149">
        <f t="shared" si="104"/>
        <v>0</v>
      </c>
      <c r="L106" s="149">
        <f t="shared" si="104"/>
        <v>407.6292498</v>
      </c>
      <c r="M106" s="149">
        <f t="shared" si="104"/>
        <v>0</v>
      </c>
      <c r="N106" s="149">
        <f t="shared" si="104"/>
        <v>274.6266978</v>
      </c>
      <c r="O106" s="149">
        <f t="shared" si="104"/>
        <v>0</v>
      </c>
      <c r="P106" s="149">
        <f t="shared" si="104"/>
        <v>538.9870472</v>
      </c>
      <c r="Q106" s="149">
        <f t="shared" si="104"/>
        <v>622.600302</v>
      </c>
      <c r="R106" s="149">
        <f t="shared" si="104"/>
        <v>0</v>
      </c>
      <c r="S106" s="149">
        <f t="shared" si="104"/>
        <v>81.29737155</v>
      </c>
      <c r="T106" s="149">
        <f t="shared" si="104"/>
        <v>1200.476255</v>
      </c>
      <c r="U106" s="149">
        <f t="shared" si="104"/>
        <v>701.3327816</v>
      </c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</row>
    <row r="107" ht="15.75" customHeight="1">
      <c r="A107" s="13" t="s">
        <v>68</v>
      </c>
      <c r="B107" s="505">
        <f t="shared" ref="B107:U107" si="105">SUM(B94:B106)</f>
        <v>61.73853191</v>
      </c>
      <c r="C107" s="505">
        <f t="shared" si="105"/>
        <v>4.176617214</v>
      </c>
      <c r="D107" s="505">
        <f t="shared" si="105"/>
        <v>9628.806322</v>
      </c>
      <c r="E107" s="505">
        <f t="shared" si="105"/>
        <v>19354.64573</v>
      </c>
      <c r="F107" s="505">
        <f t="shared" si="105"/>
        <v>0</v>
      </c>
      <c r="G107" s="505">
        <f t="shared" si="105"/>
        <v>208.5046008</v>
      </c>
      <c r="H107" s="505">
        <f t="shared" si="105"/>
        <v>383.2418735</v>
      </c>
      <c r="I107" s="505">
        <f t="shared" si="105"/>
        <v>605</v>
      </c>
      <c r="J107" s="505">
        <f t="shared" si="105"/>
        <v>121.7697181</v>
      </c>
      <c r="K107" s="505">
        <f t="shared" si="105"/>
        <v>17.47668909</v>
      </c>
      <c r="L107" s="505">
        <f t="shared" si="105"/>
        <v>1859.664007</v>
      </c>
      <c r="M107" s="505">
        <f t="shared" si="105"/>
        <v>0</v>
      </c>
      <c r="N107" s="505">
        <f t="shared" si="105"/>
        <v>1724.198198</v>
      </c>
      <c r="O107" s="505">
        <f t="shared" si="105"/>
        <v>0</v>
      </c>
      <c r="P107" s="505">
        <f t="shared" si="105"/>
        <v>3945.063551</v>
      </c>
      <c r="Q107" s="505">
        <f t="shared" si="105"/>
        <v>2792.483705</v>
      </c>
      <c r="R107" s="505">
        <f t="shared" si="105"/>
        <v>0</v>
      </c>
      <c r="S107" s="505">
        <f t="shared" si="105"/>
        <v>423.8442287</v>
      </c>
      <c r="T107" s="505">
        <f t="shared" si="105"/>
        <v>4372.327707</v>
      </c>
      <c r="U107" s="505">
        <f t="shared" si="105"/>
        <v>2443.777648</v>
      </c>
      <c r="V107" s="149">
        <f>SUM(B107:U107)</f>
        <v>47946.71913</v>
      </c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</row>
    <row r="108" ht="15.75" customHeight="1">
      <c r="A108" s="14"/>
      <c r="B108" s="198"/>
      <c r="C108" s="141"/>
      <c r="F108" s="141"/>
      <c r="I108" s="141"/>
      <c r="K108" s="141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</row>
    <row r="109" ht="15.75" customHeight="1">
      <c r="A109" s="218" t="s">
        <v>419</v>
      </c>
      <c r="B109" s="219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</row>
    <row r="110" ht="15.75" customHeight="1">
      <c r="A110" s="198"/>
      <c r="B110" s="198"/>
      <c r="C110" s="530"/>
      <c r="D110" s="530"/>
      <c r="E110" s="530"/>
      <c r="F110" s="530"/>
      <c r="G110" s="530"/>
      <c r="H110" s="530"/>
      <c r="I110" s="198"/>
      <c r="J110" s="198"/>
      <c r="K110" s="198"/>
      <c r="L110" s="206"/>
      <c r="M110" s="206"/>
      <c r="N110" s="206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</row>
    <row r="111" ht="15.75" customHeight="1">
      <c r="A111" s="23" t="s">
        <v>602</v>
      </c>
      <c r="E111" s="530"/>
      <c r="F111" s="530"/>
      <c r="G111" s="530"/>
      <c r="H111" s="530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</row>
    <row r="112" ht="15.75" customHeight="1">
      <c r="A112" s="262" t="s">
        <v>468</v>
      </c>
      <c r="B112" s="504" t="s">
        <v>288</v>
      </c>
      <c r="C112" s="531" t="s">
        <v>405</v>
      </c>
      <c r="D112" s="531" t="s">
        <v>469</v>
      </c>
      <c r="E112" s="531" t="s">
        <v>294</v>
      </c>
      <c r="F112" s="531" t="s">
        <v>296</v>
      </c>
      <c r="G112" s="531" t="s">
        <v>298</v>
      </c>
      <c r="H112" s="531" t="s">
        <v>300</v>
      </c>
      <c r="I112" s="504" t="s">
        <v>89</v>
      </c>
      <c r="J112" s="504" t="s">
        <v>303</v>
      </c>
      <c r="K112" s="504" t="s">
        <v>470</v>
      </c>
      <c r="L112" s="504" t="s">
        <v>307</v>
      </c>
      <c r="M112" s="504" t="s">
        <v>406</v>
      </c>
      <c r="N112" s="504" t="s">
        <v>311</v>
      </c>
      <c r="O112" s="504" t="s">
        <v>313</v>
      </c>
      <c r="P112" s="504" t="s">
        <v>315</v>
      </c>
      <c r="Q112" s="504" t="s">
        <v>407</v>
      </c>
      <c r="R112" s="504" t="s">
        <v>319</v>
      </c>
      <c r="S112" s="504" t="s">
        <v>321</v>
      </c>
      <c r="T112" s="504" t="s">
        <v>323</v>
      </c>
      <c r="U112" s="504" t="s">
        <v>408</v>
      </c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</row>
    <row r="113" ht="15.75" customHeight="1">
      <c r="A113" s="381" t="s">
        <v>447</v>
      </c>
      <c r="B113" s="146">
        <f>B26*'Pomocná data V. PAF'!C56</f>
        <v>0</v>
      </c>
      <c r="C113" s="146">
        <f>C26*'Pomocná data V. PAF'!D56</f>
        <v>0</v>
      </c>
      <c r="D113" s="146">
        <f>D26*'Pomocná data V. PAF'!E56</f>
        <v>0</v>
      </c>
      <c r="E113" s="146">
        <f>E26*'Pomocná data V. PAF'!F56</f>
        <v>0</v>
      </c>
      <c r="F113" s="146">
        <f>F26*'Pomocná data V. PAF'!G56</f>
        <v>0</v>
      </c>
      <c r="G113" s="146">
        <f>G26*'Pomocná data V. PAF'!H56</f>
        <v>0</v>
      </c>
      <c r="H113" s="146">
        <f>H26*'Pomocná data V. PAF'!I56</f>
        <v>0</v>
      </c>
      <c r="I113" s="146">
        <f>I26*'Pomocná data V. PAF'!J56</f>
        <v>0</v>
      </c>
      <c r="J113" s="146">
        <f>J26*'Pomocná data V. PAF'!K56</f>
        <v>0</v>
      </c>
      <c r="K113" s="146">
        <f>K26*'Pomocná data V. PAF'!L56</f>
        <v>0</v>
      </c>
      <c r="L113" s="146">
        <f>L26*'Pomocná data V. PAF'!M56</f>
        <v>0</v>
      </c>
      <c r="M113" s="146">
        <f>M26*'Pomocná data V. PAF'!N56</f>
        <v>0</v>
      </c>
      <c r="N113" s="146">
        <f>N26*'Pomocná data V. PAF'!O56</f>
        <v>4.814701414</v>
      </c>
      <c r="O113" s="146">
        <f>O26*'Pomocná data V. PAF'!P56</f>
        <v>0</v>
      </c>
      <c r="P113" s="146">
        <f>P26*'Pomocná data V. PAF'!Q56</f>
        <v>0</v>
      </c>
      <c r="Q113" s="146">
        <f>Q26*'Pomocná data V. PAF'!R56</f>
        <v>0</v>
      </c>
      <c r="R113" s="146">
        <f>R26*'Pomocná data V. PAF'!S56</f>
        <v>0</v>
      </c>
      <c r="S113" s="146">
        <f>S26*'Pomocná data V. PAF'!T56</f>
        <v>0</v>
      </c>
      <c r="T113" s="146">
        <f>T26*'Pomocná data V. PAF'!U56</f>
        <v>1.924825839</v>
      </c>
      <c r="U113" s="146">
        <f>U26*'Pomocná data V. PAF'!V56</f>
        <v>0</v>
      </c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</row>
    <row r="114" ht="15.75" customHeight="1">
      <c r="A114" s="381" t="s">
        <v>448</v>
      </c>
      <c r="B114" s="146">
        <f>B27*'Pomocná data V. PAF'!C57</f>
        <v>0</v>
      </c>
      <c r="C114" s="146">
        <f>C27*'Pomocná data V. PAF'!D57</f>
        <v>0</v>
      </c>
      <c r="D114" s="146">
        <f>D27*'Pomocná data V. PAF'!E57</f>
        <v>0</v>
      </c>
      <c r="E114" s="146">
        <f>E27*'Pomocná data V. PAF'!F57</f>
        <v>0</v>
      </c>
      <c r="F114" s="146">
        <f>F27*'Pomocná data V. PAF'!G57</f>
        <v>0</v>
      </c>
      <c r="G114" s="146">
        <f>G27*'Pomocná data V. PAF'!H57</f>
        <v>0.8656562977</v>
      </c>
      <c r="H114" s="146">
        <f>H27*'Pomocná data V. PAF'!I57</f>
        <v>4.004979496</v>
      </c>
      <c r="I114" s="146">
        <f>I27*'Pomocná data V. PAF'!J57</f>
        <v>0</v>
      </c>
      <c r="J114" s="146">
        <f>J27*'Pomocná data V. PAF'!K57</f>
        <v>0.4957458123</v>
      </c>
      <c r="K114" s="146">
        <f>K27*'Pomocná data V. PAF'!L57</f>
        <v>0</v>
      </c>
      <c r="L114" s="146">
        <f>L27*'Pomocná data V. PAF'!M57</f>
        <v>0</v>
      </c>
      <c r="M114" s="146">
        <f>M27*'Pomocná data V. PAF'!N57</f>
        <v>0</v>
      </c>
      <c r="N114" s="146">
        <f>N27*'Pomocná data V. PAF'!O57</f>
        <v>0</v>
      </c>
      <c r="O114" s="146">
        <f>O27*'Pomocná data V. PAF'!P57</f>
        <v>0</v>
      </c>
      <c r="P114" s="146">
        <f>P27*'Pomocná data V. PAF'!Q57</f>
        <v>0</v>
      </c>
      <c r="Q114" s="146">
        <f>Q27*'Pomocná data V. PAF'!R57</f>
        <v>7.029554604</v>
      </c>
      <c r="R114" s="146">
        <f>R27*'Pomocná data V. PAF'!S57</f>
        <v>0</v>
      </c>
      <c r="S114" s="146">
        <f>S27*'Pomocná data V. PAF'!T57</f>
        <v>0</v>
      </c>
      <c r="T114" s="146">
        <f>T27*'Pomocná data V. PAF'!U57</f>
        <v>2.931603774</v>
      </c>
      <c r="U114" s="146">
        <f>U27*'Pomocná data V. PAF'!V57</f>
        <v>0</v>
      </c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</row>
    <row r="115" ht="15.75" customHeight="1">
      <c r="A115" s="381" t="s">
        <v>449</v>
      </c>
      <c r="B115" s="146">
        <f>B28*'Pomocná data V. PAF'!C58</f>
        <v>0</v>
      </c>
      <c r="C115" s="146">
        <f>C28*'Pomocná data V. PAF'!D58</f>
        <v>0</v>
      </c>
      <c r="D115" s="146">
        <f>D28*'Pomocná data V. PAF'!E58</f>
        <v>53.32890295</v>
      </c>
      <c r="E115" s="146">
        <f>E28*'Pomocná data V. PAF'!F58</f>
        <v>8.604418008</v>
      </c>
      <c r="F115" s="146">
        <f>F28*'Pomocná data V. PAF'!G58</f>
        <v>0</v>
      </c>
      <c r="G115" s="146">
        <f>G28*'Pomocná data V. PAF'!H58</f>
        <v>1.24036509</v>
      </c>
      <c r="H115" s="146">
        <f>H28*'Pomocná data V. PAF'!I58</f>
        <v>5.678754438</v>
      </c>
      <c r="I115" s="146">
        <f>I28*'Pomocná data V. PAF'!J58</f>
        <v>0</v>
      </c>
      <c r="J115" s="146">
        <f>J28*'Pomocná data V. PAF'!K58</f>
        <v>0</v>
      </c>
      <c r="K115" s="146">
        <f>K28*'Pomocná data V. PAF'!L58</f>
        <v>0</v>
      </c>
      <c r="L115" s="146">
        <f>L28*'Pomocná data V. PAF'!M58</f>
        <v>24.26011366</v>
      </c>
      <c r="M115" s="146">
        <f>M28*'Pomocná data V. PAF'!N58</f>
        <v>0</v>
      </c>
      <c r="N115" s="146">
        <f>N28*'Pomocná data V. PAF'!O58</f>
        <v>0</v>
      </c>
      <c r="O115" s="146">
        <f>O28*'Pomocná data V. PAF'!P58</f>
        <v>0</v>
      </c>
      <c r="P115" s="146">
        <f>P28*'Pomocná data V. PAF'!Q58</f>
        <v>0</v>
      </c>
      <c r="Q115" s="146">
        <f>Q28*'Pomocná data V. PAF'!R58</f>
        <v>9.868255019</v>
      </c>
      <c r="R115" s="146">
        <f>R28*'Pomocná data V. PAF'!S58</f>
        <v>0</v>
      </c>
      <c r="S115" s="146">
        <f>S28*'Pomocná data V. PAF'!T58</f>
        <v>0</v>
      </c>
      <c r="T115" s="146">
        <f>T28*'Pomocná data V. PAF'!U58</f>
        <v>4.171659336</v>
      </c>
      <c r="U115" s="146">
        <f>U28*'Pomocná data V. PAF'!V58</f>
        <v>0</v>
      </c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</row>
    <row r="116" ht="15.75" customHeight="1">
      <c r="A116" s="381" t="s">
        <v>450</v>
      </c>
      <c r="B116" s="146">
        <f>B29*'Pomocná data V. PAF'!C59</f>
        <v>0</v>
      </c>
      <c r="C116" s="146">
        <f>C29*'Pomocná data V. PAF'!D59</f>
        <v>0</v>
      </c>
      <c r="D116" s="146">
        <f>D29*'Pomocná data V. PAF'!E59</f>
        <v>60.01992488</v>
      </c>
      <c r="E116" s="146">
        <f>E29*'Pomocná data V. PAF'!F59</f>
        <v>18.0487846</v>
      </c>
      <c r="F116" s="146">
        <f>F29*'Pomocná data V. PAF'!G59</f>
        <v>0</v>
      </c>
      <c r="G116" s="146">
        <f>G29*'Pomocná data V. PAF'!H59</f>
        <v>1.59209003</v>
      </c>
      <c r="H116" s="146">
        <f>H29*'Pomocná data V. PAF'!I59</f>
        <v>7.202839305</v>
      </c>
      <c r="I116" s="146">
        <f>I29*'Pomocná data V. PAF'!J59</f>
        <v>140.7</v>
      </c>
      <c r="J116" s="146">
        <f>J29*'Pomocná data V. PAF'!K59</f>
        <v>0</v>
      </c>
      <c r="K116" s="146">
        <f>K29*'Pomocná data V. PAF'!L59</f>
        <v>0</v>
      </c>
      <c r="L116" s="146">
        <f>L29*'Pomocná data V. PAF'!M59</f>
        <v>0</v>
      </c>
      <c r="M116" s="146">
        <f>M29*'Pomocná data V. PAF'!N59</f>
        <v>0</v>
      </c>
      <c r="N116" s="146">
        <f>N29*'Pomocná data V. PAF'!O59</f>
        <v>0</v>
      </c>
      <c r="O116" s="146">
        <f>O29*'Pomocná data V. PAF'!P59</f>
        <v>0</v>
      </c>
      <c r="P116" s="146">
        <f>P29*'Pomocná data V. PAF'!Q59</f>
        <v>0</v>
      </c>
      <c r="Q116" s="146">
        <f>Q29*'Pomocná data V. PAF'!R59</f>
        <v>12.37853055</v>
      </c>
      <c r="R116" s="146">
        <f>R29*'Pomocná data V. PAF'!S59</f>
        <v>0</v>
      </c>
      <c r="S116" s="146">
        <f>S29*'Pomocná data V. PAF'!T59</f>
        <v>0</v>
      </c>
      <c r="T116" s="146">
        <f>T29*'Pomocná data V. PAF'!U59</f>
        <v>5.312601516</v>
      </c>
      <c r="U116" s="146">
        <f>U29*'Pomocná data V. PAF'!V59</f>
        <v>10.82927076</v>
      </c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</row>
    <row r="117" ht="15.75" customHeight="1">
      <c r="A117" s="381" t="s">
        <v>451</v>
      </c>
      <c r="B117" s="146">
        <f>B30*'Pomocná data V. PAF'!C60</f>
        <v>3.906791224</v>
      </c>
      <c r="C117" s="146">
        <f>C30*'Pomocná data V. PAF'!D60</f>
        <v>0</v>
      </c>
      <c r="D117" s="146">
        <f>D30*'Pomocná data V. PAF'!E60</f>
        <v>64.30922745</v>
      </c>
      <c r="E117" s="146">
        <f>E30*'Pomocná data V. PAF'!F60</f>
        <v>118.4070986</v>
      </c>
      <c r="F117" s="146">
        <f>F30*'Pomocná data V. PAF'!G60</f>
        <v>0</v>
      </c>
      <c r="G117" s="146">
        <f>G30*'Pomocná data V. PAF'!H60</f>
        <v>3.306803417</v>
      </c>
      <c r="H117" s="146">
        <f>H30*'Pomocná data V. PAF'!I60</f>
        <v>14.72975336</v>
      </c>
      <c r="I117" s="146">
        <f>I30*'Pomocná data V. PAF'!J60</f>
        <v>126.3</v>
      </c>
      <c r="J117" s="146">
        <f>J30*'Pomocná data V. PAF'!K60</f>
        <v>1.141446012</v>
      </c>
      <c r="K117" s="146">
        <f>K30*'Pomocná data V. PAF'!L60</f>
        <v>0</v>
      </c>
      <c r="L117" s="146">
        <f>L30*'Pomocná data V. PAF'!M60</f>
        <v>33.91330719</v>
      </c>
      <c r="M117" s="146">
        <f>M30*'Pomocná data V. PAF'!N60</f>
        <v>0</v>
      </c>
      <c r="N117" s="146">
        <f>N30*'Pomocná data V. PAF'!O60</f>
        <v>15.42104505</v>
      </c>
      <c r="O117" s="146">
        <f>O30*'Pomocná data V. PAF'!P60</f>
        <v>0</v>
      </c>
      <c r="P117" s="146">
        <f>P30*'Pomocná data V. PAF'!Q60</f>
        <v>16.30174186</v>
      </c>
      <c r="Q117" s="146">
        <f>Q30*'Pomocná data V. PAF'!R60</f>
        <v>34.94256954</v>
      </c>
      <c r="R117" s="146">
        <f>R30*'Pomocná data V. PAF'!S60</f>
        <v>0</v>
      </c>
      <c r="S117" s="146">
        <f>S30*'Pomocná data V. PAF'!T60</f>
        <v>4.712722862</v>
      </c>
      <c r="T117" s="146">
        <f>T30*'Pomocná data V. PAF'!U60</f>
        <v>21.84192961</v>
      </c>
      <c r="U117" s="146">
        <f>U30*'Pomocná data V. PAF'!V60</f>
        <v>13.15634429</v>
      </c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</row>
    <row r="118" ht="15.75" customHeight="1">
      <c r="A118" s="381" t="s">
        <v>452</v>
      </c>
      <c r="B118" s="146">
        <f>B31*'Pomocná data V. PAF'!C61</f>
        <v>0</v>
      </c>
      <c r="C118" s="146">
        <f>C31*'Pomocná data V. PAF'!D61</f>
        <v>0</v>
      </c>
      <c r="D118" s="146">
        <f>D31*'Pomocná data V. PAF'!E61</f>
        <v>103.3716319</v>
      </c>
      <c r="E118" s="146">
        <f>E31*'Pomocná data V. PAF'!F61</f>
        <v>364.0960871</v>
      </c>
      <c r="F118" s="146">
        <f>F31*'Pomocná data V. PAF'!G61</f>
        <v>0</v>
      </c>
      <c r="G118" s="146">
        <f>G31*'Pomocná data V. PAF'!H61</f>
        <v>7.677457026</v>
      </c>
      <c r="H118" s="146">
        <f>H31*'Pomocná data V. PAF'!I61</f>
        <v>33.84757491</v>
      </c>
      <c r="I118" s="146">
        <f>I31*'Pomocná data V. PAF'!J61</f>
        <v>0</v>
      </c>
      <c r="J118" s="146">
        <f>J31*'Pomocná data V. PAF'!K61</f>
        <v>0</v>
      </c>
      <c r="K118" s="146">
        <f>K31*'Pomocná data V. PAF'!L61</f>
        <v>0</v>
      </c>
      <c r="L118" s="146">
        <f>L31*'Pomocná data V. PAF'!M61</f>
        <v>68.28298181</v>
      </c>
      <c r="M118" s="146">
        <f>M31*'Pomocná data V. PAF'!N61</f>
        <v>0</v>
      </c>
      <c r="N118" s="146">
        <f>N31*'Pomocná data V. PAF'!O61</f>
        <v>42.53385757</v>
      </c>
      <c r="O118" s="146">
        <f>O31*'Pomocná data V. PAF'!P61</f>
        <v>0</v>
      </c>
      <c r="P118" s="146">
        <f>P31*'Pomocná data V. PAF'!Q61</f>
        <v>67.356555</v>
      </c>
      <c r="Q118" s="146">
        <f>Q31*'Pomocná data V. PAF'!R61</f>
        <v>56.83143198</v>
      </c>
      <c r="R118" s="146">
        <f>R31*'Pomocná data V. PAF'!S61</f>
        <v>0</v>
      </c>
      <c r="S118" s="146">
        <f>S31*'Pomocná data V. PAF'!T61</f>
        <v>4.953022893</v>
      </c>
      <c r="T118" s="146">
        <f>T31*'Pomocná data V. PAF'!U61</f>
        <v>32.04911754</v>
      </c>
      <c r="U118" s="146">
        <f>U31*'Pomocná data V. PAF'!V61</f>
        <v>22.75600545</v>
      </c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</row>
    <row r="119" ht="15.75" customHeight="1">
      <c r="A119" s="381" t="s">
        <v>453</v>
      </c>
      <c r="B119" s="146">
        <f>B32*'Pomocná data V. PAF'!C62</f>
        <v>0</v>
      </c>
      <c r="C119" s="146">
        <f>C32*'Pomocná data V. PAF'!D62</f>
        <v>0</v>
      </c>
      <c r="D119" s="146">
        <f>D32*'Pomocná data V. PAF'!E62</f>
        <v>173.5388312</v>
      </c>
      <c r="E119" s="146">
        <f>E32*'Pomocná data V. PAF'!F62</f>
        <v>612.420031</v>
      </c>
      <c r="F119" s="146">
        <f>F32*'Pomocná data V. PAF'!G62</f>
        <v>0</v>
      </c>
      <c r="G119" s="146">
        <f>G32*'Pomocná data V. PAF'!H62</f>
        <v>7.073051617</v>
      </c>
      <c r="H119" s="146">
        <f>H32*'Pomocná data V. PAF'!I62</f>
        <v>30.86470149</v>
      </c>
      <c r="I119" s="146">
        <f>I32*'Pomocná data V. PAF'!J62</f>
        <v>98.1</v>
      </c>
      <c r="J119" s="146">
        <f>J32*'Pomocná data V. PAF'!K62</f>
        <v>1.223868462</v>
      </c>
      <c r="K119" s="146">
        <f>K32*'Pomocná data V. PAF'!L62</f>
        <v>0</v>
      </c>
      <c r="L119" s="146">
        <f>L32*'Pomocná data V. PAF'!M62</f>
        <v>143.2953276</v>
      </c>
      <c r="M119" s="146">
        <f>M32*'Pomocná data V. PAF'!N62</f>
        <v>0</v>
      </c>
      <c r="N119" s="146">
        <f>N32*'Pomocná data V. PAF'!O62</f>
        <v>84.51610757</v>
      </c>
      <c r="O119" s="146">
        <f>O32*'Pomocná data V. PAF'!P62</f>
        <v>0</v>
      </c>
      <c r="P119" s="146">
        <f>P32*'Pomocná data V. PAF'!Q62</f>
        <v>133.6712967</v>
      </c>
      <c r="Q119" s="146">
        <f>Q32*'Pomocná data V. PAF'!R62</f>
        <v>92.45288106</v>
      </c>
      <c r="R119" s="146">
        <f>R32*'Pomocná data V. PAF'!S62</f>
        <v>0</v>
      </c>
      <c r="S119" s="146">
        <f>S32*'Pomocná data V. PAF'!T62</f>
        <v>8.331267844</v>
      </c>
      <c r="T119" s="146">
        <f>T32*'Pomocná data V. PAF'!U62</f>
        <v>76.03251534</v>
      </c>
      <c r="U119" s="146">
        <f>U32*'Pomocná data V. PAF'!V62</f>
        <v>27.21866804</v>
      </c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</row>
    <row r="120" ht="15.75" customHeight="1">
      <c r="A120" s="381" t="s">
        <v>454</v>
      </c>
      <c r="B120" s="146">
        <f>B33*'Pomocná data V. PAF'!C63</f>
        <v>4.096807468</v>
      </c>
      <c r="C120" s="146">
        <f>C33*'Pomocná data V. PAF'!D63</f>
        <v>0</v>
      </c>
      <c r="D120" s="146">
        <f>D33*'Pomocná data V. PAF'!E63</f>
        <v>228.4649736</v>
      </c>
      <c r="E120" s="146">
        <f>E33*'Pomocná data V. PAF'!F63</f>
        <v>1234.873024</v>
      </c>
      <c r="F120" s="146">
        <f>F33*'Pomocná data V. PAF'!G63</f>
        <v>0</v>
      </c>
      <c r="G120" s="146">
        <f>G33*'Pomocná data V. PAF'!H63</f>
        <v>6.997440136</v>
      </c>
      <c r="H120" s="146">
        <f>H33*'Pomocná data V. PAF'!I63</f>
        <v>30.20416892</v>
      </c>
      <c r="I120" s="146">
        <f>I33*'Pomocná data V. PAF'!J63</f>
        <v>84.6</v>
      </c>
      <c r="J120" s="146">
        <f>J33*'Pomocná data V. PAF'!K63</f>
        <v>1.212454906</v>
      </c>
      <c r="K120" s="146">
        <f>K33*'Pomocná data V. PAF'!L63</f>
        <v>0</v>
      </c>
      <c r="L120" s="146">
        <f>L33*'Pomocná data V. PAF'!M63</f>
        <v>135.3409122</v>
      </c>
      <c r="M120" s="146">
        <f>M33*'Pomocná data V. PAF'!N63</f>
        <v>0</v>
      </c>
      <c r="N120" s="146">
        <f>N33*'Pomocná data V. PAF'!O63</f>
        <v>174.0144287</v>
      </c>
      <c r="O120" s="146">
        <f>O33*'Pomocná data V. PAF'!P63</f>
        <v>0</v>
      </c>
      <c r="P120" s="146">
        <f>P33*'Pomocná data V. PAF'!Q63</f>
        <v>247.9188935</v>
      </c>
      <c r="Q120" s="146">
        <f>Q33*'Pomocná data V. PAF'!R63</f>
        <v>119.5175752</v>
      </c>
      <c r="R120" s="146">
        <f>R33*'Pomocná data V. PAF'!S63</f>
        <v>0</v>
      </c>
      <c r="S120" s="146">
        <f>S33*'Pomocná data V. PAF'!T63</f>
        <v>16.41200985</v>
      </c>
      <c r="T120" s="146">
        <f>T33*'Pomocná data V. PAF'!U63</f>
        <v>133.5031014</v>
      </c>
      <c r="U120" s="146">
        <f>U33*'Pomocná data V. PAF'!V63</f>
        <v>141.1283456</v>
      </c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</row>
    <row r="121" ht="15.75" customHeight="1">
      <c r="A121" s="381" t="s">
        <v>455</v>
      </c>
      <c r="B121" s="146">
        <f>B34*'Pomocná data V. PAF'!C64</f>
        <v>3.517533449</v>
      </c>
      <c r="C121" s="146">
        <f>C34*'Pomocná data V. PAF'!D64</f>
        <v>0</v>
      </c>
      <c r="D121" s="146">
        <f>D34*'Pomocná data V. PAF'!E64</f>
        <v>673.6955224</v>
      </c>
      <c r="E121" s="146">
        <f>E34*'Pomocná data V. PAF'!F64</f>
        <v>1693.912236</v>
      </c>
      <c r="F121" s="146">
        <f>F34*'Pomocná data V. PAF'!G64</f>
        <v>0</v>
      </c>
      <c r="G121" s="146">
        <f>G34*'Pomocná data V. PAF'!H64</f>
        <v>7.812970915</v>
      </c>
      <c r="H121" s="146">
        <f>H34*'Pomocná data V. PAF'!I64</f>
        <v>33.6862563</v>
      </c>
      <c r="I121" s="146">
        <f>I34*'Pomocná data V. PAF'!J64</f>
        <v>71.7</v>
      </c>
      <c r="J121" s="146">
        <f>J34*'Pomocná data V. PAF'!K64</f>
        <v>0</v>
      </c>
      <c r="K121" s="146">
        <f>K34*'Pomocná data V. PAF'!L64</f>
        <v>0</v>
      </c>
      <c r="L121" s="146">
        <f>L34*'Pomocná data V. PAF'!M64</f>
        <v>186.8904443</v>
      </c>
      <c r="M121" s="146">
        <f>M34*'Pomocná data V. PAF'!N64</f>
        <v>0</v>
      </c>
      <c r="N121" s="146">
        <f>N34*'Pomocná data V. PAF'!O64</f>
        <v>214.9321828</v>
      </c>
      <c r="O121" s="146">
        <f>O34*'Pomocná data V. PAF'!P64</f>
        <v>0</v>
      </c>
      <c r="P121" s="146">
        <f>P34*'Pomocná data V. PAF'!Q64</f>
        <v>318.671005</v>
      </c>
      <c r="Q121" s="146">
        <f>Q34*'Pomocná data V. PAF'!R64</f>
        <v>179.266049</v>
      </c>
      <c r="R121" s="146">
        <f>R34*'Pomocná data V. PAF'!S64</f>
        <v>0</v>
      </c>
      <c r="S121" s="146">
        <f>S34*'Pomocná data V. PAF'!T64</f>
        <v>19.72532407</v>
      </c>
      <c r="T121" s="146">
        <f>T34*'Pomocná data V. PAF'!U64</f>
        <v>174.7771489</v>
      </c>
      <c r="U121" s="146">
        <f>U34*'Pomocná data V. PAF'!V64</f>
        <v>173.9284885</v>
      </c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</row>
    <row r="122" ht="15.75" customHeight="1">
      <c r="A122" s="381" t="s">
        <v>456</v>
      </c>
      <c r="B122" s="146">
        <f>B35*'Pomocná data V. PAF'!C65</f>
        <v>2.914107209</v>
      </c>
      <c r="C122" s="146">
        <f>C35*'Pomocná data V. PAF'!D65</f>
        <v>0</v>
      </c>
      <c r="D122" s="146">
        <f>D35*'Pomocná data V. PAF'!E65</f>
        <v>1165.859699</v>
      </c>
      <c r="E122" s="146">
        <f>E35*'Pomocná data V. PAF'!F65</f>
        <v>2822.311669</v>
      </c>
      <c r="F122" s="146">
        <f>F35*'Pomocná data V. PAF'!G65</f>
        <v>0</v>
      </c>
      <c r="G122" s="146">
        <f>G35*'Pomocná data V. PAF'!H65</f>
        <v>8.464261378</v>
      </c>
      <c r="H122" s="146">
        <f>H35*'Pomocná data V. PAF'!I65</f>
        <v>36.49434783</v>
      </c>
      <c r="I122" s="146">
        <f>I35*'Pomocná data V. PAF'!J65</f>
        <v>178.2</v>
      </c>
      <c r="J122" s="146">
        <f>J35*'Pomocná data V. PAF'!K65</f>
        <v>1.725675543</v>
      </c>
      <c r="K122" s="146">
        <f>K35*'Pomocná data V. PAF'!L65</f>
        <v>0</v>
      </c>
      <c r="L122" s="146">
        <f>L35*'Pomocná data V. PAF'!M65</f>
        <v>243.3038778</v>
      </c>
      <c r="M122" s="146">
        <f>M35*'Pomocná data V. PAF'!N65</f>
        <v>0</v>
      </c>
      <c r="N122" s="146">
        <f>N35*'Pomocná data V. PAF'!O65</f>
        <v>261.6406112</v>
      </c>
      <c r="O122" s="146">
        <f>O35*'Pomocná data V. PAF'!P65</f>
        <v>0</v>
      </c>
      <c r="P122" s="146">
        <f>P35*'Pomocná data V. PAF'!Q65</f>
        <v>570.0947177</v>
      </c>
      <c r="Q122" s="146">
        <f>Q35*'Pomocná data V. PAF'!R65</f>
        <v>318.2427767</v>
      </c>
      <c r="R122" s="146">
        <f>R35*'Pomocná data V. PAF'!S65</f>
        <v>0</v>
      </c>
      <c r="S122" s="146">
        <f>S35*'Pomocná data V. PAF'!T65</f>
        <v>37.35195856</v>
      </c>
      <c r="T122" s="146">
        <f>T35*'Pomocná data V. PAF'!U65</f>
        <v>296.0242255</v>
      </c>
      <c r="U122" s="146">
        <f>U35*'Pomocná data V. PAF'!V65</f>
        <v>278.7855034</v>
      </c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</row>
    <row r="123" ht="15.75" customHeight="1">
      <c r="A123" s="381" t="s">
        <v>457</v>
      </c>
      <c r="B123" s="146">
        <f>B36*'Pomocná data V. PAF'!C66</f>
        <v>4.941936725</v>
      </c>
      <c r="C123" s="146">
        <f>C36*'Pomocná data V. PAF'!D66</f>
        <v>0</v>
      </c>
      <c r="D123" s="146">
        <f>D36*'Pomocná data V. PAF'!E66</f>
        <v>1990.730739</v>
      </c>
      <c r="E123" s="146">
        <f>E36*'Pomocná data V. PAF'!F66</f>
        <v>2735.79322</v>
      </c>
      <c r="F123" s="146">
        <f>F36*'Pomocná data V. PAF'!G66</f>
        <v>0</v>
      </c>
      <c r="G123" s="146">
        <f>G36*'Pomocná data V. PAF'!H66</f>
        <v>12.91141232</v>
      </c>
      <c r="H123" s="146">
        <f>H36*'Pomocná data V. PAF'!I66</f>
        <v>56.74549152</v>
      </c>
      <c r="I123" s="146">
        <f>I36*'Pomocná data V. PAF'!J66</f>
        <v>112.7</v>
      </c>
      <c r="J123" s="146">
        <f>J36*'Pomocná data V. PAF'!K66</f>
        <v>2.540597192</v>
      </c>
      <c r="K123" s="146">
        <f>K36*'Pomocná data V. PAF'!L66</f>
        <v>0</v>
      </c>
      <c r="L123" s="146">
        <f>L36*'Pomocná data V. PAF'!M66</f>
        <v>268.3872262</v>
      </c>
      <c r="M123" s="146">
        <f>M36*'Pomocná data V. PAF'!N66</f>
        <v>0</v>
      </c>
      <c r="N123" s="146">
        <f>N36*'Pomocná data V. PAF'!O66</f>
        <v>288.5182817</v>
      </c>
      <c r="O123" s="146">
        <f>O36*'Pomocná data V. PAF'!P66</f>
        <v>0</v>
      </c>
      <c r="P123" s="146">
        <f>P36*'Pomocná data V. PAF'!Q66</f>
        <v>530.9536174</v>
      </c>
      <c r="Q123" s="146">
        <f>Q36*'Pomocná data V. PAF'!R66</f>
        <v>472.7747806</v>
      </c>
      <c r="R123" s="146">
        <f>R36*'Pomocná data V. PAF'!S66</f>
        <v>0</v>
      </c>
      <c r="S123" s="146">
        <f>S36*'Pomocná data V. PAF'!T66</f>
        <v>41.66390386</v>
      </c>
      <c r="T123" s="146">
        <f>T36*'Pomocná data V. PAF'!U66</f>
        <v>275.2069262</v>
      </c>
      <c r="U123" s="146">
        <f>U36*'Pomocná data V. PAF'!V66</f>
        <v>310.5605448</v>
      </c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</row>
    <row r="124" ht="15.75" customHeight="1">
      <c r="A124" s="381" t="s">
        <v>458</v>
      </c>
      <c r="B124" s="146">
        <f>B37*'Pomocná data V. PAF'!C67</f>
        <v>2.691498288</v>
      </c>
      <c r="C124" s="146">
        <f>C37*'Pomocná data V. PAF'!D67</f>
        <v>0</v>
      </c>
      <c r="D124" s="146">
        <f>D37*'Pomocná data V. PAF'!E67</f>
        <v>2010.767445</v>
      </c>
      <c r="E124" s="146">
        <f>E37*'Pomocná data V. PAF'!F67</f>
        <v>2629.498579</v>
      </c>
      <c r="F124" s="146">
        <f>F37*'Pomocná data V. PAF'!G67</f>
        <v>0</v>
      </c>
      <c r="G124" s="146">
        <f>G37*'Pomocná data V. PAF'!H67</f>
        <v>10.04345195</v>
      </c>
      <c r="H124" s="146">
        <f>H37*'Pomocná data V. PAF'!I67</f>
        <v>44.42778454</v>
      </c>
      <c r="I124" s="146">
        <f>I37*'Pomocná data V. PAF'!J67</f>
        <v>64.5</v>
      </c>
      <c r="J124" s="146">
        <f>J37*'Pomocná data V. PAF'!K67</f>
        <v>2.62862271</v>
      </c>
      <c r="K124" s="146">
        <f>K37*'Pomocná data V. PAF'!L67</f>
        <v>12.06373981</v>
      </c>
      <c r="L124" s="146">
        <f>L37*'Pomocná data V. PAF'!M67</f>
        <v>249.4089184</v>
      </c>
      <c r="M124" s="146">
        <f>M37*'Pomocná data V. PAF'!N67</f>
        <v>0</v>
      </c>
      <c r="N124" s="146">
        <f>N37*'Pomocná data V. PAF'!O67</f>
        <v>255.5318843</v>
      </c>
      <c r="O124" s="146">
        <f>O37*'Pomocná data V. PAF'!P67</f>
        <v>0</v>
      </c>
      <c r="P124" s="146">
        <f>P37*'Pomocná data V. PAF'!Q67</f>
        <v>421.4672911</v>
      </c>
      <c r="Q124" s="146">
        <f>Q37*'Pomocná data V. PAF'!R67</f>
        <v>385.9903932</v>
      </c>
      <c r="R124" s="146">
        <f>R37*'Pomocná data V. PAF'!S67</f>
        <v>0</v>
      </c>
      <c r="S124" s="146">
        <f>S37*'Pomocná data V. PAF'!T67</f>
        <v>23.78988005</v>
      </c>
      <c r="T124" s="146">
        <f>T37*'Pomocná data V. PAF'!U67</f>
        <v>274.6323689</v>
      </c>
      <c r="U124" s="146">
        <f>U37*'Pomocná data V. PAF'!V67</f>
        <v>318.7724515</v>
      </c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</row>
    <row r="125" ht="15.75" customHeight="1">
      <c r="A125" s="381" t="s">
        <v>459</v>
      </c>
      <c r="B125" s="146">
        <f>SUM(B38:B42)*'Pomocná data V. PAF'!C68</f>
        <v>4.532368616</v>
      </c>
      <c r="C125" s="146">
        <f>SUM(C38:C42)*'Pomocná data V. PAF'!D68</f>
        <v>3.184955513</v>
      </c>
      <c r="D125" s="146">
        <f>SUM(D38:D42)*'Pomocná data V. PAF'!E68</f>
        <v>2737.041582</v>
      </c>
      <c r="E125" s="146">
        <f>SUM(E38:E42)*'Pomocná data V. PAF'!F68</f>
        <v>3742.70571</v>
      </c>
      <c r="F125" s="146">
        <f>SUM(F38:F42)*'Pomocná data V. PAF'!G68</f>
        <v>0</v>
      </c>
      <c r="G125" s="146">
        <f>SUM(G38:G42)*'Pomocná data V. PAF'!H68</f>
        <v>8.19002899</v>
      </c>
      <c r="H125" s="146">
        <f>SUM(H38:H42)*'Pomocná data V. PAF'!I68</f>
        <v>36.70905818</v>
      </c>
      <c r="I125" s="146">
        <f>SUM(I38:I42)*'Pomocná data V. PAF'!J68</f>
        <v>0</v>
      </c>
      <c r="J125" s="146">
        <f>SUM(J38:J42)*'Pomocná data V. PAF'!K68</f>
        <v>3.68540592</v>
      </c>
      <c r="K125" s="146">
        <f>SUM(K38:K42)*'Pomocná data V. PAF'!L68</f>
        <v>0</v>
      </c>
      <c r="L125" s="146">
        <f>SUM(L38:L42)*'Pomocná data V. PAF'!M68</f>
        <v>297.3367079</v>
      </c>
      <c r="M125" s="146">
        <f>SUM(M38:M42)*'Pomocná data V. PAF'!N68</f>
        <v>0</v>
      </c>
      <c r="N125" s="146">
        <f>SUM(N38:N42)*'Pomocná data V. PAF'!O68</f>
        <v>212.0109791</v>
      </c>
      <c r="O125" s="146">
        <f>SUM(O38:O42)*'Pomocná data V. PAF'!P68</f>
        <v>0</v>
      </c>
      <c r="P125" s="146">
        <f>SUM(P38:P42)*'Pomocná data V. PAF'!Q68</f>
        <v>302.6178909</v>
      </c>
      <c r="Q125" s="146">
        <f>SUM(Q38:Q42)*'Pomocná data V. PAF'!R68</f>
        <v>411.7917225</v>
      </c>
      <c r="R125" s="146">
        <f>SUM(R38:R42)*'Pomocná data V. PAF'!S68</f>
        <v>0</v>
      </c>
      <c r="S125" s="146">
        <f>SUM(S38:S42)*'Pomocná data V. PAF'!T68</f>
        <v>31.12824023</v>
      </c>
      <c r="T125" s="146">
        <f>SUM(T38:T42)*'Pomocná data V. PAF'!U68</f>
        <v>403.3464978</v>
      </c>
      <c r="U125" s="146">
        <f>SUM(U38:U42)*'Pomocná data V. PAF'!V68</f>
        <v>451.5425758</v>
      </c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</row>
    <row r="126" ht="15.75" customHeight="1">
      <c r="A126" s="13" t="s">
        <v>68</v>
      </c>
      <c r="B126" s="505">
        <f t="shared" ref="B126:U126" si="106">SUM(B113:B125)</f>
        <v>26.60104298</v>
      </c>
      <c r="C126" s="505">
        <f t="shared" si="106"/>
        <v>3.184955513</v>
      </c>
      <c r="D126" s="505">
        <f t="shared" si="106"/>
        <v>9261.128479</v>
      </c>
      <c r="E126" s="505">
        <f t="shared" si="106"/>
        <v>15980.67086</v>
      </c>
      <c r="F126" s="505">
        <f t="shared" si="106"/>
        <v>0</v>
      </c>
      <c r="G126" s="505">
        <f t="shared" si="106"/>
        <v>76.17498917</v>
      </c>
      <c r="H126" s="505">
        <f t="shared" si="106"/>
        <v>334.5957103</v>
      </c>
      <c r="I126" s="505">
        <f t="shared" si="106"/>
        <v>876.8</v>
      </c>
      <c r="J126" s="505">
        <f t="shared" si="106"/>
        <v>14.65381656</v>
      </c>
      <c r="K126" s="505">
        <f t="shared" si="106"/>
        <v>12.06373981</v>
      </c>
      <c r="L126" s="505">
        <f t="shared" si="106"/>
        <v>1650.419817</v>
      </c>
      <c r="M126" s="505">
        <f t="shared" si="106"/>
        <v>0</v>
      </c>
      <c r="N126" s="505">
        <f t="shared" si="106"/>
        <v>1553.934079</v>
      </c>
      <c r="O126" s="505">
        <f t="shared" si="106"/>
        <v>0</v>
      </c>
      <c r="P126" s="505">
        <f t="shared" si="106"/>
        <v>2609.053009</v>
      </c>
      <c r="Q126" s="505">
        <f t="shared" si="106"/>
        <v>2101.08652</v>
      </c>
      <c r="R126" s="505">
        <f t="shared" si="106"/>
        <v>0</v>
      </c>
      <c r="S126" s="505">
        <f t="shared" si="106"/>
        <v>188.0683302</v>
      </c>
      <c r="T126" s="505">
        <f t="shared" si="106"/>
        <v>1701.754522</v>
      </c>
      <c r="U126" s="505">
        <f t="shared" si="106"/>
        <v>1748.678198</v>
      </c>
      <c r="V126" s="507">
        <f>SUM(B126:U126)</f>
        <v>38138.86807</v>
      </c>
      <c r="W126" s="13" t="s">
        <v>612</v>
      </c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</row>
    <row r="127" ht="15.75" customHeight="1">
      <c r="A127" s="198"/>
      <c r="B127" s="198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</row>
    <row r="128" ht="15.75" customHeight="1">
      <c r="A128" s="499" t="s">
        <v>604</v>
      </c>
      <c r="B128" s="289"/>
      <c r="C128" s="289"/>
      <c r="D128" s="289"/>
      <c r="E128" s="289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</row>
    <row r="129" ht="15.75" customHeight="1">
      <c r="A129" s="210" t="s">
        <v>468</v>
      </c>
      <c r="B129" s="500" t="s">
        <v>288</v>
      </c>
      <c r="C129" s="500" t="s">
        <v>405</v>
      </c>
      <c r="D129" s="500" t="s">
        <v>469</v>
      </c>
      <c r="E129" s="500" t="s">
        <v>294</v>
      </c>
      <c r="F129" s="500" t="s">
        <v>296</v>
      </c>
      <c r="G129" s="500" t="s">
        <v>298</v>
      </c>
      <c r="H129" s="500" t="s">
        <v>300</v>
      </c>
      <c r="I129" s="500" t="s">
        <v>89</v>
      </c>
      <c r="J129" s="500" t="s">
        <v>303</v>
      </c>
      <c r="K129" s="500" t="s">
        <v>470</v>
      </c>
      <c r="L129" s="500" t="s">
        <v>307</v>
      </c>
      <c r="M129" s="500" t="s">
        <v>406</v>
      </c>
      <c r="N129" s="500" t="s">
        <v>311</v>
      </c>
      <c r="O129" s="500" t="s">
        <v>313</v>
      </c>
      <c r="P129" s="500" t="s">
        <v>315</v>
      </c>
      <c r="Q129" s="500" t="s">
        <v>407</v>
      </c>
      <c r="R129" s="500" t="s">
        <v>319</v>
      </c>
      <c r="S129" s="500" t="s">
        <v>321</v>
      </c>
      <c r="T129" s="500" t="s">
        <v>323</v>
      </c>
      <c r="U129" s="478" t="s">
        <v>408</v>
      </c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</row>
    <row r="130" ht="15.75" customHeight="1">
      <c r="A130" s="380" t="s">
        <v>447</v>
      </c>
      <c r="B130" s="146">
        <f>B47*'Pomocná data V. PAF'!C56</f>
        <v>0</v>
      </c>
      <c r="C130" s="146">
        <f>C47*'Pomocná data V. PAF'!D56</f>
        <v>0</v>
      </c>
      <c r="D130" s="146">
        <f>D47*'Pomocná data V. PAF'!E56</f>
        <v>0</v>
      </c>
      <c r="E130" s="146">
        <f>E47*'Pomocná data V. PAF'!F56</f>
        <v>0</v>
      </c>
      <c r="F130" s="146">
        <f>F47*'Pomocná data V. PAF'!G56</f>
        <v>0</v>
      </c>
      <c r="G130" s="146">
        <f>G47*'Pomocná data V. PAF'!H56</f>
        <v>0</v>
      </c>
      <c r="H130" s="146">
        <f>H47*'Pomocná data V. PAF'!I56</f>
        <v>0</v>
      </c>
      <c r="I130" s="146">
        <f>I47*'Pomocná data V. PAF'!J56</f>
        <v>0</v>
      </c>
      <c r="J130" s="146">
        <f>J47*'Pomocná data V. PAF'!K56</f>
        <v>0</v>
      </c>
      <c r="K130" s="146">
        <f>K47*'Pomocná data V. PAF'!L56</f>
        <v>0</v>
      </c>
      <c r="L130" s="146">
        <f>L47*'Pomocná data V. PAF'!M56</f>
        <v>0</v>
      </c>
      <c r="M130" s="146">
        <f>M47*'Pomocná data V. PAF'!N56</f>
        <v>0</v>
      </c>
      <c r="N130" s="146">
        <f>N47*'Pomocná data V. PAF'!O56</f>
        <v>3.583580694</v>
      </c>
      <c r="O130" s="146">
        <f>O47*'Pomocná data V. PAF'!P56</f>
        <v>0</v>
      </c>
      <c r="P130" s="146">
        <f>P47*'Pomocná data V. PAF'!Q56</f>
        <v>0</v>
      </c>
      <c r="Q130" s="146">
        <f>Q47*'Pomocná data V. PAF'!R56</f>
        <v>0</v>
      </c>
      <c r="R130" s="146">
        <f>R47*'Pomocná data V. PAF'!S56</f>
        <v>0</v>
      </c>
      <c r="S130" s="146">
        <f>S47*'Pomocná data V. PAF'!T56</f>
        <v>0</v>
      </c>
      <c r="T130" s="146">
        <f>T47*'Pomocná data V. PAF'!U56</f>
        <v>1.432647245</v>
      </c>
      <c r="U130" s="146">
        <f>U47*'Pomocná data V. PAF'!V56</f>
        <v>0</v>
      </c>
      <c r="V130" s="146">
        <f t="shared" ref="V130:V140" si="107">SUM(B130:U130)</f>
        <v>5.016227939</v>
      </c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</row>
    <row r="131" ht="15.75" customHeight="1">
      <c r="A131" s="380" t="s">
        <v>448</v>
      </c>
      <c r="B131" s="146">
        <f>B48*'Pomocná data V. PAF'!C57</f>
        <v>0</v>
      </c>
      <c r="C131" s="146">
        <f>C48*'Pomocná data V. PAF'!D57</f>
        <v>0</v>
      </c>
      <c r="D131" s="146">
        <f>D48*'Pomocná data V. PAF'!E57</f>
        <v>0</v>
      </c>
      <c r="E131" s="146">
        <f>E48*'Pomocná data V. PAF'!F57</f>
        <v>0</v>
      </c>
      <c r="F131" s="146">
        <f>F48*'Pomocná data V. PAF'!G57</f>
        <v>0</v>
      </c>
      <c r="G131" s="146">
        <f>G48*'Pomocná data V. PAF'!H57</f>
        <v>0.6235789613</v>
      </c>
      <c r="H131" s="146">
        <f>H48*'Pomocná data V. PAF'!I57</f>
        <v>2.885002929</v>
      </c>
      <c r="I131" s="146">
        <f>I48*'Pomocná data V. PAF'!J57</f>
        <v>0</v>
      </c>
      <c r="J131" s="146">
        <f>J48*'Pomocná data V. PAF'!K57</f>
        <v>0.3571124701</v>
      </c>
      <c r="K131" s="146">
        <f>K48*'Pomocná data V. PAF'!L57</f>
        <v>0</v>
      </c>
      <c r="L131" s="146">
        <f>L48*'Pomocná data V. PAF'!M57</f>
        <v>0</v>
      </c>
      <c r="M131" s="146">
        <f>M48*'Pomocná data V. PAF'!N57</f>
        <v>0</v>
      </c>
      <c r="N131" s="146">
        <f>N48*'Pomocná data V. PAF'!O57</f>
        <v>0</v>
      </c>
      <c r="O131" s="146">
        <f>O48*'Pomocná data V. PAF'!P57</f>
        <v>0</v>
      </c>
      <c r="P131" s="146">
        <f>P48*'Pomocná data V. PAF'!Q57</f>
        <v>0</v>
      </c>
      <c r="Q131" s="146">
        <f>Q48*'Pomocná data V. PAF'!R57</f>
        <v>5.063767653</v>
      </c>
      <c r="R131" s="146">
        <f>R48*'Pomocná data V. PAF'!S57</f>
        <v>0</v>
      </c>
      <c r="S131" s="146">
        <f>S48*'Pomocná data V. PAF'!T57</f>
        <v>0</v>
      </c>
      <c r="T131" s="146">
        <f>T48*'Pomocná data V. PAF'!U57</f>
        <v>2.111792453</v>
      </c>
      <c r="U131" s="146">
        <f>U48*'Pomocná data V. PAF'!V57</f>
        <v>0</v>
      </c>
      <c r="V131" s="146">
        <f t="shared" si="107"/>
        <v>11.04125447</v>
      </c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</row>
    <row r="132" ht="15.75" customHeight="1">
      <c r="A132" s="380" t="s">
        <v>449</v>
      </c>
      <c r="B132" s="146">
        <f>B49*'Pomocná data V. PAF'!C58</f>
        <v>0</v>
      </c>
      <c r="C132" s="146">
        <f>C49*'Pomocná data V. PAF'!D58</f>
        <v>0</v>
      </c>
      <c r="D132" s="146">
        <f>D49*'Pomocná data V. PAF'!E58</f>
        <v>36.82479372</v>
      </c>
      <c r="E132" s="146">
        <f>E49*'Pomocná data V. PAF'!F58</f>
        <v>5.941542029</v>
      </c>
      <c r="F132" s="146">
        <f>F49*'Pomocná data V. PAF'!G58</f>
        <v>0</v>
      </c>
      <c r="G132" s="146">
        <f>G49*'Pomocná data V. PAF'!H58</f>
        <v>0.856499685</v>
      </c>
      <c r="H132" s="146">
        <f>H49*'Pomocná data V. PAF'!I58</f>
        <v>3.921306256</v>
      </c>
      <c r="I132" s="146">
        <f>I49*'Pomocná data V. PAF'!J58</f>
        <v>0</v>
      </c>
      <c r="J132" s="146">
        <f>J49*'Pomocná data V. PAF'!K58</f>
        <v>0</v>
      </c>
      <c r="K132" s="146">
        <f>K49*'Pomocná data V. PAF'!L58</f>
        <v>0</v>
      </c>
      <c r="L132" s="146">
        <f>L49*'Pomocná data V. PAF'!M58</f>
        <v>16.75214812</v>
      </c>
      <c r="M132" s="146">
        <f>M49*'Pomocná data V. PAF'!N58</f>
        <v>0</v>
      </c>
      <c r="N132" s="146">
        <f>N49*'Pomocná data V. PAF'!O58</f>
        <v>0</v>
      </c>
      <c r="O132" s="146">
        <f>O49*'Pomocná data V. PAF'!P58</f>
        <v>0</v>
      </c>
      <c r="P132" s="146">
        <f>P49*'Pomocná data V. PAF'!Q58</f>
        <v>0</v>
      </c>
      <c r="Q132" s="146">
        <f>Q49*'Pomocná data V. PAF'!R58</f>
        <v>6.814249597</v>
      </c>
      <c r="R132" s="146">
        <f>R49*'Pomocná data V. PAF'!S58</f>
        <v>0</v>
      </c>
      <c r="S132" s="146">
        <f>S49*'Pomocná data V. PAF'!T58</f>
        <v>0</v>
      </c>
      <c r="T132" s="146">
        <f>T49*'Pomocná data V. PAF'!U58</f>
        <v>2.880623565</v>
      </c>
      <c r="U132" s="146">
        <f>U49*'Pomocná data V. PAF'!V58</f>
        <v>0</v>
      </c>
      <c r="V132" s="146">
        <f t="shared" si="107"/>
        <v>73.99116297</v>
      </c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</row>
    <row r="133" ht="15.75" customHeight="1">
      <c r="A133" s="380" t="s">
        <v>450</v>
      </c>
      <c r="B133" s="146">
        <f>B50*'Pomocná data V. PAF'!C59</f>
        <v>0</v>
      </c>
      <c r="C133" s="146">
        <f>C50*'Pomocná data V. PAF'!D59</f>
        <v>0</v>
      </c>
      <c r="D133" s="146">
        <f>D50*'Pomocná data V. PAF'!E59</f>
        <v>39.28809582</v>
      </c>
      <c r="E133" s="146">
        <f>E50*'Pomocná data V. PAF'!F59</f>
        <v>11.81444962</v>
      </c>
      <c r="F133" s="146">
        <f>F50*'Pomocná data V. PAF'!G59</f>
        <v>0</v>
      </c>
      <c r="G133" s="146">
        <f>G50*'Pomocná data V. PAF'!H59</f>
        <v>1.042157013</v>
      </c>
      <c r="H133" s="146">
        <f>H50*'Pomocná data V. PAF'!I59</f>
        <v>4.714864961</v>
      </c>
      <c r="I133" s="146">
        <f>I50*'Pomocná data V. PAF'!J59</f>
        <v>92.1</v>
      </c>
      <c r="J133" s="146">
        <f>J50*'Pomocná data V. PAF'!K59</f>
        <v>0</v>
      </c>
      <c r="K133" s="146">
        <f>K50*'Pomocná data V. PAF'!L59</f>
        <v>0</v>
      </c>
      <c r="L133" s="146">
        <f>L50*'Pomocná data V. PAF'!M59</f>
        <v>0</v>
      </c>
      <c r="M133" s="146">
        <f>M50*'Pomocná data V. PAF'!N59</f>
        <v>0</v>
      </c>
      <c r="N133" s="146">
        <f>N50*'Pomocná data V. PAF'!O59</f>
        <v>0</v>
      </c>
      <c r="O133" s="146">
        <f>O50*'Pomocná data V. PAF'!P59</f>
        <v>0</v>
      </c>
      <c r="P133" s="146">
        <f>P50*'Pomocná data V. PAF'!Q59</f>
        <v>0</v>
      </c>
      <c r="Q133" s="146">
        <f>Q50*'Pomocná data V. PAF'!R59</f>
        <v>8.102790787</v>
      </c>
      <c r="R133" s="146">
        <f>R50*'Pomocná data V. PAF'!S59</f>
        <v>0</v>
      </c>
      <c r="S133" s="146">
        <f>S50*'Pomocná data V. PAF'!T59</f>
        <v>0</v>
      </c>
      <c r="T133" s="146">
        <f>T50*'Pomocná data V. PAF'!U59</f>
        <v>3.477545129</v>
      </c>
      <c r="U133" s="146">
        <f>U50*'Pomocná data V. PAF'!V59</f>
        <v>7.088669771</v>
      </c>
      <c r="V133" s="146">
        <f t="shared" si="107"/>
        <v>167.6285731</v>
      </c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</row>
    <row r="134" ht="15.75" customHeight="1">
      <c r="A134" s="380" t="s">
        <v>451</v>
      </c>
      <c r="B134" s="146">
        <f>B51*'Pomocná data V. PAF'!C60</f>
        <v>2.384905807</v>
      </c>
      <c r="C134" s="146">
        <f>C51*'Pomocná data V. PAF'!D60</f>
        <v>0</v>
      </c>
      <c r="D134" s="146">
        <f>D51*'Pomocná data V. PAF'!E60</f>
        <v>39.25765191</v>
      </c>
      <c r="E134" s="146">
        <f>E51*'Pomocná data V. PAF'!F60</f>
        <v>72.28176802</v>
      </c>
      <c r="F134" s="146">
        <f>F51*'Pomocná data V. PAF'!G60</f>
        <v>0</v>
      </c>
      <c r="G134" s="146">
        <f>G51*'Pomocná data V. PAF'!H60</f>
        <v>2.018642466</v>
      </c>
      <c r="H134" s="146">
        <f>H51*'Pomocná data V. PAF'!I60</f>
        <v>8.99179718</v>
      </c>
      <c r="I134" s="146">
        <f>I51*'Pomocná data V. PAF'!J60</f>
        <v>77.1</v>
      </c>
      <c r="J134" s="146">
        <f>J51*'Pomocná data V. PAF'!K60</f>
        <v>0.6967972094</v>
      </c>
      <c r="K134" s="146">
        <f>K51*'Pomocná data V. PAF'!L60</f>
        <v>0</v>
      </c>
      <c r="L134" s="146">
        <f>L51*'Pomocná data V. PAF'!M60</f>
        <v>20.70242268</v>
      </c>
      <c r="M134" s="146">
        <f>M51*'Pomocná data V. PAF'!N60</f>
        <v>0</v>
      </c>
      <c r="N134" s="146">
        <f>N51*'Pomocná data V. PAF'!O60</f>
        <v>9.413797099</v>
      </c>
      <c r="O134" s="146">
        <f>O51*'Pomocná data V. PAF'!P60</f>
        <v>0</v>
      </c>
      <c r="P134" s="146">
        <f>P51*'Pomocná data V. PAF'!Q60</f>
        <v>9.951419613</v>
      </c>
      <c r="Q134" s="146">
        <f>Q51*'Pomocná data V. PAF'!R60</f>
        <v>21.33073723</v>
      </c>
      <c r="R134" s="146">
        <f>R51*'Pomocná data V. PAF'!S60</f>
        <v>0</v>
      </c>
      <c r="S134" s="146">
        <f>S51*'Pomocná data V. PAF'!T60</f>
        <v>2.876887828</v>
      </c>
      <c r="T134" s="146">
        <f>T51*'Pomocná data V. PAF'!U60</f>
        <v>13.33343447</v>
      </c>
      <c r="U134" s="146">
        <f>U51*'Pomocná data V. PAF'!V60</f>
        <v>8.031307557</v>
      </c>
      <c r="V134" s="146">
        <f t="shared" si="107"/>
        <v>288.3715691</v>
      </c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</row>
    <row r="135" ht="15.75" customHeight="1">
      <c r="A135" s="380" t="s">
        <v>452</v>
      </c>
      <c r="B135" s="146">
        <f>B52*'Pomocná data V. PAF'!C61</f>
        <v>0</v>
      </c>
      <c r="C135" s="146">
        <f>C52*'Pomocná data V. PAF'!D61</f>
        <v>0</v>
      </c>
      <c r="D135" s="146">
        <f>D52*'Pomocná data V. PAF'!E61</f>
        <v>57.21371073</v>
      </c>
      <c r="E135" s="146">
        <f>E52*'Pomocná data V. PAF'!F61</f>
        <v>201.5184226</v>
      </c>
      <c r="F135" s="146">
        <f>F52*'Pomocná data V. PAF'!G61</f>
        <v>0</v>
      </c>
      <c r="G135" s="146">
        <f>G52*'Pomocná data V. PAF'!H61</f>
        <v>4.249287712</v>
      </c>
      <c r="H135" s="146">
        <f>H52*'Pomocná data V. PAF'!I61</f>
        <v>18.7338182</v>
      </c>
      <c r="I135" s="146">
        <f>I52*'Pomocná data V. PAF'!J61</f>
        <v>0</v>
      </c>
      <c r="J135" s="146">
        <f>J52*'Pomocná data V. PAF'!K61</f>
        <v>0</v>
      </c>
      <c r="K135" s="146">
        <f>K52*'Pomocná data V. PAF'!L61</f>
        <v>0</v>
      </c>
      <c r="L135" s="146">
        <f>L52*'Pomocná data V. PAF'!M61</f>
        <v>37.79298726</v>
      </c>
      <c r="M135" s="146">
        <f>M52*'Pomocná data V. PAF'!N61</f>
        <v>0</v>
      </c>
      <c r="N135" s="146">
        <f>N52*'Pomocná data V. PAF'!O61</f>
        <v>23.54146662</v>
      </c>
      <c r="O135" s="146">
        <f>O52*'Pomocná data V. PAF'!P61</f>
        <v>0</v>
      </c>
      <c r="P135" s="146">
        <f>P52*'Pomocná data V. PAF'!Q61</f>
        <v>37.28023231</v>
      </c>
      <c r="Q135" s="146">
        <f>Q52*'Pomocná data V. PAF'!R61</f>
        <v>31.45483</v>
      </c>
      <c r="R135" s="146">
        <f>R52*'Pomocná data V. PAF'!S61</f>
        <v>0</v>
      </c>
      <c r="S135" s="146">
        <f>S52*'Pomocná data V. PAF'!T61</f>
        <v>2.741378981</v>
      </c>
      <c r="T135" s="146">
        <f>T52*'Pomocná data V. PAF'!U61</f>
        <v>17.73841532</v>
      </c>
      <c r="U135" s="146">
        <f>U52*'Pomocná data V. PAF'!V61</f>
        <v>12.59490141</v>
      </c>
      <c r="V135" s="146">
        <f t="shared" si="107"/>
        <v>444.8594511</v>
      </c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</row>
    <row r="136" ht="15.75" customHeight="1">
      <c r="A136" s="380" t="s">
        <v>453</v>
      </c>
      <c r="B136" s="146">
        <f>B53*'Pomocná data V. PAF'!C62</f>
        <v>0</v>
      </c>
      <c r="C136" s="146">
        <f>C53*'Pomocná data V. PAF'!D62</f>
        <v>0</v>
      </c>
      <c r="D136" s="146">
        <f>D53*'Pomocná data V. PAF'!E62</f>
        <v>83.31986698</v>
      </c>
      <c r="E136" s="146">
        <f>E53*'Pomocná data V. PAF'!F62</f>
        <v>294.0365286</v>
      </c>
      <c r="F136" s="146">
        <f>F53*'Pomocná data V. PAF'!G62</f>
        <v>0</v>
      </c>
      <c r="G136" s="146">
        <f>G53*'Pomocná data V. PAF'!H62</f>
        <v>3.395929981</v>
      </c>
      <c r="H136" s="146">
        <f>H53*'Pomocná data V. PAF'!I62</f>
        <v>14.81883221</v>
      </c>
      <c r="I136" s="146">
        <f>I53*'Pomocná data V. PAF'!J62</f>
        <v>47.1</v>
      </c>
      <c r="J136" s="146">
        <f>J53*'Pomocná data V. PAF'!K62</f>
        <v>0.5876065703</v>
      </c>
      <c r="K136" s="146">
        <f>K53*'Pomocná data V. PAF'!L62</f>
        <v>0</v>
      </c>
      <c r="L136" s="146">
        <f>L53*'Pomocná data V. PAF'!M62</f>
        <v>68.79928571</v>
      </c>
      <c r="M136" s="146">
        <f>M53*'Pomocná data V. PAF'!N62</f>
        <v>0</v>
      </c>
      <c r="N136" s="146">
        <f>N53*'Pomocná data V. PAF'!O62</f>
        <v>40.57807</v>
      </c>
      <c r="O136" s="146">
        <f>O53*'Pomocná data V. PAF'!P62</f>
        <v>0</v>
      </c>
      <c r="P136" s="146">
        <f>P53*'Pomocná data V. PAF'!Q62</f>
        <v>64.17857365</v>
      </c>
      <c r="Q136" s="146">
        <f>Q53*'Pomocná data V. PAF'!R62</f>
        <v>44.38869213</v>
      </c>
      <c r="R136" s="146">
        <f>R53*'Pomocná data V. PAF'!S62</f>
        <v>0</v>
      </c>
      <c r="S136" s="146">
        <f>S53*'Pomocná data V. PAF'!T62</f>
        <v>4.00002768</v>
      </c>
      <c r="T136" s="146">
        <f>T53*'Pomocná data V. PAF'!U62</f>
        <v>36.50490798</v>
      </c>
      <c r="U136" s="146">
        <f>U53*'Pomocná data V. PAF'!V62</f>
        <v>13.06829016</v>
      </c>
      <c r="V136" s="146">
        <f t="shared" si="107"/>
        <v>714.7766117</v>
      </c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</row>
    <row r="137" ht="15.75" customHeight="1">
      <c r="A137" s="380" t="s">
        <v>454</v>
      </c>
      <c r="B137" s="146">
        <f>B54*'Pomocná data V. PAF'!C63</f>
        <v>1.554462408</v>
      </c>
      <c r="C137" s="146">
        <f>C54*'Pomocná data V. PAF'!D63</f>
        <v>0</v>
      </c>
      <c r="D137" s="146">
        <f>D54*'Pomocná data V. PAF'!E63</f>
        <v>86.68706444</v>
      </c>
      <c r="E137" s="146">
        <f>E54*'Pomocná data V. PAF'!F63</f>
        <v>468.5511121</v>
      </c>
      <c r="F137" s="146">
        <f>F54*'Pomocná data V. PAF'!G63</f>
        <v>0</v>
      </c>
      <c r="G137" s="146">
        <f>G54*'Pomocná data V. PAF'!H63</f>
        <v>2.655057073</v>
      </c>
      <c r="H137" s="146">
        <f>H54*'Pomocná data V. PAF'!I63</f>
        <v>11.46044707</v>
      </c>
      <c r="I137" s="146">
        <f>I54*'Pomocná data V. PAF'!J63</f>
        <v>32.1</v>
      </c>
      <c r="J137" s="146">
        <f>J54*'Pomocná data V. PAF'!K63</f>
        <v>0.4600449465</v>
      </c>
      <c r="K137" s="146">
        <f>K54*'Pomocná data V. PAF'!L63</f>
        <v>0</v>
      </c>
      <c r="L137" s="146">
        <f>L54*'Pomocná data V. PAF'!M63</f>
        <v>51.35275748</v>
      </c>
      <c r="M137" s="146">
        <f>M54*'Pomocná data V. PAF'!N63</f>
        <v>0</v>
      </c>
      <c r="N137" s="146">
        <f>N54*'Pomocná data V. PAF'!O63</f>
        <v>66.0267513</v>
      </c>
      <c r="O137" s="146">
        <f>O54*'Pomocná data V. PAF'!P63</f>
        <v>0</v>
      </c>
      <c r="P137" s="146">
        <f>P54*'Pomocná data V. PAF'!Q63</f>
        <v>94.06851631</v>
      </c>
      <c r="Q137" s="146">
        <f>Q54*'Pomocná data V. PAF'!R63</f>
        <v>45.3488672</v>
      </c>
      <c r="R137" s="146">
        <f>R54*'Pomocná data V. PAF'!S63</f>
        <v>0</v>
      </c>
      <c r="S137" s="146">
        <f>S54*'Pomocná data V. PAF'!T63</f>
        <v>6.227251965</v>
      </c>
      <c r="T137" s="146">
        <f>T54*'Pomocná data V. PAF'!U63</f>
        <v>50.6554321</v>
      </c>
      <c r="U137" s="146">
        <f>U54*'Pomocná data V. PAF'!V63</f>
        <v>53.54869852</v>
      </c>
      <c r="V137" s="146">
        <f t="shared" si="107"/>
        <v>970.6964629</v>
      </c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</row>
    <row r="138" ht="15.75" customHeight="1">
      <c r="A138" s="380" t="s">
        <v>455</v>
      </c>
      <c r="B138" s="146">
        <f>B55*'Pomocná data V. PAF'!C64</f>
        <v>0.8389096511</v>
      </c>
      <c r="C138" s="146">
        <f>C55*'Pomocná data V. PAF'!D64</f>
        <v>0</v>
      </c>
      <c r="D138" s="146">
        <f>D55*'Pomocná data V. PAF'!E64</f>
        <v>160.6721539</v>
      </c>
      <c r="E138" s="146">
        <f>E55*'Pomocná data V. PAF'!F64</f>
        <v>403.987437</v>
      </c>
      <c r="F138" s="146">
        <f>F55*'Pomocná data V. PAF'!G64</f>
        <v>0</v>
      </c>
      <c r="G138" s="146">
        <f>G55*'Pomocná data V. PAF'!H64</f>
        <v>1.863344528</v>
      </c>
      <c r="H138" s="146">
        <f>H55*'Pomocná data V. PAF'!I64</f>
        <v>8.033960708</v>
      </c>
      <c r="I138" s="146">
        <f>I55*'Pomocná data V. PAF'!J64</f>
        <v>17.1</v>
      </c>
      <c r="J138" s="146">
        <f>J55*'Pomocná data V. PAF'!K64</f>
        <v>0</v>
      </c>
      <c r="K138" s="146">
        <f>K55*'Pomocná data V. PAF'!L64</f>
        <v>0</v>
      </c>
      <c r="L138" s="146">
        <f>L55*'Pomocná data V. PAF'!M64</f>
        <v>44.57219801</v>
      </c>
      <c r="M138" s="146">
        <f>M55*'Pomocná data V. PAF'!N64</f>
        <v>0</v>
      </c>
      <c r="N138" s="146">
        <f>N55*'Pomocná data V. PAF'!O64</f>
        <v>51.25997665</v>
      </c>
      <c r="O138" s="146">
        <f>O55*'Pomocná data V. PAF'!P64</f>
        <v>0</v>
      </c>
      <c r="P138" s="146">
        <f>P55*'Pomocná data V. PAF'!Q64</f>
        <v>76.00103467</v>
      </c>
      <c r="Q138" s="146">
        <f>Q55*'Pomocná data V. PAF'!R64</f>
        <v>42.75382758</v>
      </c>
      <c r="R138" s="146">
        <f>R55*'Pomocná data V. PAF'!S64</f>
        <v>0</v>
      </c>
      <c r="S138" s="146">
        <f>S55*'Pomocná data V. PAF'!T64</f>
        <v>4.704365992</v>
      </c>
      <c r="T138" s="146">
        <f>T55*'Pomocná data V. PAF'!U64</f>
        <v>41.6832531</v>
      </c>
      <c r="U138" s="146">
        <f>U55*'Pomocná data V. PAF'!V64</f>
        <v>41.48085291</v>
      </c>
      <c r="V138" s="146">
        <f t="shared" si="107"/>
        <v>894.9513147</v>
      </c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</row>
    <row r="139" ht="15.75" customHeight="1">
      <c r="A139" s="380" t="s">
        <v>456</v>
      </c>
      <c r="B139" s="146">
        <f>B56*'Pomocná data V. PAF'!C65</f>
        <v>0.1030239922</v>
      </c>
      <c r="C139" s="146">
        <f>C56*'Pomocná data V. PAF'!D65</f>
        <v>0</v>
      </c>
      <c r="D139" s="146">
        <f>D56*'Pomocná data V. PAF'!E65</f>
        <v>41.21726209</v>
      </c>
      <c r="E139" s="146">
        <f>E56*'Pomocná data V. PAF'!F65</f>
        <v>99.77869538</v>
      </c>
      <c r="F139" s="146">
        <f>F56*'Pomocná data V. PAF'!G65</f>
        <v>0</v>
      </c>
      <c r="G139" s="146">
        <f>G56*'Pomocná data V. PAF'!H65</f>
        <v>0.2992415639</v>
      </c>
      <c r="H139" s="146">
        <f>H56*'Pomocná data V. PAF'!I65</f>
        <v>1.290204216</v>
      </c>
      <c r="I139" s="146">
        <f>I56*'Pomocná data V. PAF'!J65</f>
        <v>6.3</v>
      </c>
      <c r="J139" s="146">
        <f>J56*'Pomocná data V. PAF'!K65</f>
        <v>0.0610087313</v>
      </c>
      <c r="K139" s="146">
        <f>K56*'Pomocná data V. PAF'!L65</f>
        <v>0</v>
      </c>
      <c r="L139" s="146">
        <f>L56*'Pomocná data V. PAF'!M65</f>
        <v>8.601652247</v>
      </c>
      <c r="M139" s="146">
        <f>M56*'Pomocná data V. PAF'!N65</f>
        <v>0</v>
      </c>
      <c r="N139" s="146">
        <f>N56*'Pomocná data V. PAF'!O65</f>
        <v>9.249920598</v>
      </c>
      <c r="O139" s="146">
        <f>O56*'Pomocná data V. PAF'!P65</f>
        <v>0</v>
      </c>
      <c r="P139" s="146">
        <f>P56*'Pomocná data V. PAF'!Q65</f>
        <v>20.15486376</v>
      </c>
      <c r="Q139" s="146">
        <f>Q56*'Pomocná data V. PAF'!R65</f>
        <v>11.25100726</v>
      </c>
      <c r="R139" s="146">
        <f>R56*'Pomocná data V. PAF'!S65</f>
        <v>0</v>
      </c>
      <c r="S139" s="146">
        <f>S56*'Pomocná data V. PAF'!T65</f>
        <v>1.320523787</v>
      </c>
      <c r="T139" s="146">
        <f>T56*'Pomocná data V. PAF'!U65</f>
        <v>10.46550292</v>
      </c>
      <c r="U139" s="146">
        <f>U56*'Pomocná data V. PAF'!V65</f>
        <v>9.856053151</v>
      </c>
      <c r="V139" s="146">
        <f t="shared" si="107"/>
        <v>219.9489597</v>
      </c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</row>
    <row r="140" ht="15.75" customHeight="1">
      <c r="A140" s="13" t="s">
        <v>68</v>
      </c>
      <c r="B140" s="505">
        <f t="shared" ref="B140:U140" si="108">SUM(B130:B139)</f>
        <v>4.881301858</v>
      </c>
      <c r="C140" s="505">
        <f t="shared" si="108"/>
        <v>0</v>
      </c>
      <c r="D140" s="505">
        <f t="shared" si="108"/>
        <v>544.4805996</v>
      </c>
      <c r="E140" s="505">
        <f t="shared" si="108"/>
        <v>1557.909955</v>
      </c>
      <c r="F140" s="505">
        <f t="shared" si="108"/>
        <v>0</v>
      </c>
      <c r="G140" s="505">
        <f t="shared" si="108"/>
        <v>17.00373898</v>
      </c>
      <c r="H140" s="505">
        <f t="shared" si="108"/>
        <v>74.85023373</v>
      </c>
      <c r="I140" s="505">
        <f t="shared" si="108"/>
        <v>271.8</v>
      </c>
      <c r="J140" s="505">
        <f t="shared" si="108"/>
        <v>2.162569928</v>
      </c>
      <c r="K140" s="505">
        <f t="shared" si="108"/>
        <v>0</v>
      </c>
      <c r="L140" s="505">
        <f t="shared" si="108"/>
        <v>248.5734515</v>
      </c>
      <c r="M140" s="505">
        <f t="shared" si="108"/>
        <v>0</v>
      </c>
      <c r="N140" s="505">
        <f t="shared" si="108"/>
        <v>203.653563</v>
      </c>
      <c r="O140" s="505">
        <f t="shared" si="108"/>
        <v>0</v>
      </c>
      <c r="P140" s="505">
        <f t="shared" si="108"/>
        <v>301.6346403</v>
      </c>
      <c r="Q140" s="505">
        <f t="shared" si="108"/>
        <v>216.5087694</v>
      </c>
      <c r="R140" s="505">
        <f t="shared" si="108"/>
        <v>0</v>
      </c>
      <c r="S140" s="505">
        <f t="shared" si="108"/>
        <v>21.87043623</v>
      </c>
      <c r="T140" s="505">
        <f t="shared" si="108"/>
        <v>180.2835543</v>
      </c>
      <c r="U140" s="505">
        <f t="shared" si="108"/>
        <v>145.6687735</v>
      </c>
      <c r="V140" s="507">
        <f t="shared" si="107"/>
        <v>3791.281588</v>
      </c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</row>
    <row r="141" ht="15.75" customHeight="1">
      <c r="A141" s="198"/>
      <c r="B141" s="198"/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</row>
    <row r="142" ht="15.75" customHeight="1">
      <c r="A142" s="376" t="s">
        <v>605</v>
      </c>
      <c r="D142" s="376"/>
      <c r="E142" s="376"/>
      <c r="F142" s="376"/>
      <c r="G142" s="376"/>
      <c r="H142" s="376"/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  <c r="AA142" s="376"/>
      <c r="AB142" s="376"/>
      <c r="AC142" s="376"/>
      <c r="AD142" s="376"/>
      <c r="AE142" s="376"/>
      <c r="AF142" s="376"/>
      <c r="AG142" s="376"/>
      <c r="AH142" s="376"/>
      <c r="AI142" s="376"/>
      <c r="AJ142" s="376"/>
      <c r="AK142" s="376"/>
      <c r="AL142" s="376"/>
      <c r="AM142" s="376"/>
      <c r="AN142" s="376"/>
      <c r="AO142" s="376"/>
      <c r="AP142" s="376"/>
      <c r="AQ142" s="376"/>
      <c r="AR142" s="376"/>
      <c r="AS142" s="376"/>
    </row>
    <row r="143" ht="15.75" customHeight="1">
      <c r="A143" s="262" t="s">
        <v>468</v>
      </c>
      <c r="B143" s="504" t="s">
        <v>288</v>
      </c>
      <c r="C143" s="504" t="s">
        <v>405</v>
      </c>
      <c r="D143" s="504" t="s">
        <v>469</v>
      </c>
      <c r="E143" s="504" t="s">
        <v>294</v>
      </c>
      <c r="F143" s="504" t="s">
        <v>296</v>
      </c>
      <c r="G143" s="504" t="s">
        <v>298</v>
      </c>
      <c r="H143" s="504" t="s">
        <v>300</v>
      </c>
      <c r="I143" s="504" t="s">
        <v>89</v>
      </c>
      <c r="J143" s="504" t="s">
        <v>303</v>
      </c>
      <c r="K143" s="504" t="s">
        <v>470</v>
      </c>
      <c r="L143" s="504" t="s">
        <v>307</v>
      </c>
      <c r="M143" s="504" t="s">
        <v>406</v>
      </c>
      <c r="N143" s="504" t="s">
        <v>311</v>
      </c>
      <c r="O143" s="504" t="s">
        <v>313</v>
      </c>
      <c r="P143" s="504" t="s">
        <v>315</v>
      </c>
      <c r="Q143" s="504" t="s">
        <v>407</v>
      </c>
      <c r="R143" s="504" t="s">
        <v>319</v>
      </c>
      <c r="S143" s="504" t="s">
        <v>321</v>
      </c>
      <c r="T143" s="504" t="s">
        <v>323</v>
      </c>
      <c r="U143" s="504" t="s">
        <v>408</v>
      </c>
      <c r="V143" s="198"/>
      <c r="W143" s="14"/>
      <c r="X143" s="14"/>
      <c r="Y143" s="14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</row>
    <row r="144" ht="15.75" customHeight="1">
      <c r="A144" s="381" t="s">
        <v>447</v>
      </c>
      <c r="B144" s="149">
        <f t="shared" ref="B144:U144" si="109">B113-B130</f>
        <v>0</v>
      </c>
      <c r="C144" s="149">
        <f t="shared" si="109"/>
        <v>0</v>
      </c>
      <c r="D144" s="149">
        <f t="shared" si="109"/>
        <v>0</v>
      </c>
      <c r="E144" s="149">
        <f t="shared" si="109"/>
        <v>0</v>
      </c>
      <c r="F144" s="149">
        <f t="shared" si="109"/>
        <v>0</v>
      </c>
      <c r="G144" s="149">
        <f t="shared" si="109"/>
        <v>0</v>
      </c>
      <c r="H144" s="149">
        <f t="shared" si="109"/>
        <v>0</v>
      </c>
      <c r="I144" s="149">
        <f t="shared" si="109"/>
        <v>0</v>
      </c>
      <c r="J144" s="149">
        <f t="shared" si="109"/>
        <v>0</v>
      </c>
      <c r="K144" s="149">
        <f t="shared" si="109"/>
        <v>0</v>
      </c>
      <c r="L144" s="149">
        <f t="shared" si="109"/>
        <v>0</v>
      </c>
      <c r="M144" s="149">
        <f t="shared" si="109"/>
        <v>0</v>
      </c>
      <c r="N144" s="149">
        <f t="shared" si="109"/>
        <v>1.23112072</v>
      </c>
      <c r="O144" s="149">
        <f t="shared" si="109"/>
        <v>0</v>
      </c>
      <c r="P144" s="149">
        <f t="shared" si="109"/>
        <v>0</v>
      </c>
      <c r="Q144" s="149">
        <f t="shared" si="109"/>
        <v>0</v>
      </c>
      <c r="R144" s="149">
        <f t="shared" si="109"/>
        <v>0</v>
      </c>
      <c r="S144" s="149">
        <f t="shared" si="109"/>
        <v>0</v>
      </c>
      <c r="T144" s="149">
        <f t="shared" si="109"/>
        <v>0.492178594</v>
      </c>
      <c r="U144" s="149">
        <f t="shared" si="109"/>
        <v>0</v>
      </c>
      <c r="V144" s="198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</row>
    <row r="145" ht="15.75" customHeight="1">
      <c r="A145" s="381" t="s">
        <v>448</v>
      </c>
      <c r="B145" s="149">
        <f t="shared" ref="B145:U145" si="110">B114-B131</f>
        <v>0</v>
      </c>
      <c r="C145" s="149">
        <f t="shared" si="110"/>
        <v>0</v>
      </c>
      <c r="D145" s="149">
        <f t="shared" si="110"/>
        <v>0</v>
      </c>
      <c r="E145" s="149">
        <f t="shared" si="110"/>
        <v>0</v>
      </c>
      <c r="F145" s="149">
        <f t="shared" si="110"/>
        <v>0</v>
      </c>
      <c r="G145" s="149">
        <f t="shared" si="110"/>
        <v>0.2420773363</v>
      </c>
      <c r="H145" s="149">
        <f t="shared" si="110"/>
        <v>1.119976567</v>
      </c>
      <c r="I145" s="149">
        <f t="shared" si="110"/>
        <v>0</v>
      </c>
      <c r="J145" s="149">
        <f t="shared" si="110"/>
        <v>0.1386333422</v>
      </c>
      <c r="K145" s="149">
        <f t="shared" si="110"/>
        <v>0</v>
      </c>
      <c r="L145" s="149">
        <f t="shared" si="110"/>
        <v>0</v>
      </c>
      <c r="M145" s="149">
        <f t="shared" si="110"/>
        <v>0</v>
      </c>
      <c r="N145" s="149">
        <f t="shared" si="110"/>
        <v>0</v>
      </c>
      <c r="O145" s="149">
        <f t="shared" si="110"/>
        <v>0</v>
      </c>
      <c r="P145" s="149">
        <f t="shared" si="110"/>
        <v>0</v>
      </c>
      <c r="Q145" s="149">
        <f t="shared" si="110"/>
        <v>1.965786951</v>
      </c>
      <c r="R145" s="149">
        <f t="shared" si="110"/>
        <v>0</v>
      </c>
      <c r="S145" s="149">
        <f t="shared" si="110"/>
        <v>0</v>
      </c>
      <c r="T145" s="149">
        <f t="shared" si="110"/>
        <v>0.8198113208</v>
      </c>
      <c r="U145" s="149">
        <f t="shared" si="110"/>
        <v>0</v>
      </c>
      <c r="V145" s="198"/>
      <c r="W145" s="14"/>
      <c r="X145" s="14"/>
      <c r="Y145" s="14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</row>
    <row r="146" ht="15.75" customHeight="1">
      <c r="A146" s="381" t="s">
        <v>449</v>
      </c>
      <c r="B146" s="149">
        <f t="shared" ref="B146:U146" si="111">B115-B132</f>
        <v>0</v>
      </c>
      <c r="C146" s="149">
        <f t="shared" si="111"/>
        <v>0</v>
      </c>
      <c r="D146" s="149">
        <f t="shared" si="111"/>
        <v>16.50410923</v>
      </c>
      <c r="E146" s="149">
        <f t="shared" si="111"/>
        <v>2.662875979</v>
      </c>
      <c r="F146" s="149">
        <f t="shared" si="111"/>
        <v>0</v>
      </c>
      <c r="G146" s="149">
        <f t="shared" si="111"/>
        <v>0.3838654051</v>
      </c>
      <c r="H146" s="149">
        <f t="shared" si="111"/>
        <v>1.757448182</v>
      </c>
      <c r="I146" s="149">
        <f t="shared" si="111"/>
        <v>0</v>
      </c>
      <c r="J146" s="149">
        <f t="shared" si="111"/>
        <v>0</v>
      </c>
      <c r="K146" s="149">
        <f t="shared" si="111"/>
        <v>0</v>
      </c>
      <c r="L146" s="149">
        <f t="shared" si="111"/>
        <v>7.507965542</v>
      </c>
      <c r="M146" s="149">
        <f t="shared" si="111"/>
        <v>0</v>
      </c>
      <c r="N146" s="149">
        <f t="shared" si="111"/>
        <v>0</v>
      </c>
      <c r="O146" s="149">
        <f t="shared" si="111"/>
        <v>0</v>
      </c>
      <c r="P146" s="149">
        <f t="shared" si="111"/>
        <v>0</v>
      </c>
      <c r="Q146" s="149">
        <f t="shared" si="111"/>
        <v>3.054005422</v>
      </c>
      <c r="R146" s="149">
        <f t="shared" si="111"/>
        <v>0</v>
      </c>
      <c r="S146" s="149">
        <f t="shared" si="111"/>
        <v>0</v>
      </c>
      <c r="T146" s="149">
        <f t="shared" si="111"/>
        <v>1.291035771</v>
      </c>
      <c r="U146" s="149">
        <f t="shared" si="111"/>
        <v>0</v>
      </c>
      <c r="V146" s="198"/>
      <c r="W146" s="198"/>
      <c r="X146" s="198"/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</row>
    <row r="147" ht="15.75" customHeight="1">
      <c r="A147" s="381" t="s">
        <v>450</v>
      </c>
      <c r="B147" s="149">
        <f t="shared" ref="B147:U147" si="112">B116-B133</f>
        <v>0</v>
      </c>
      <c r="C147" s="149">
        <f t="shared" si="112"/>
        <v>0</v>
      </c>
      <c r="D147" s="149">
        <f t="shared" si="112"/>
        <v>20.73182906</v>
      </c>
      <c r="E147" s="149">
        <f t="shared" si="112"/>
        <v>6.234334978</v>
      </c>
      <c r="F147" s="149">
        <f t="shared" si="112"/>
        <v>0</v>
      </c>
      <c r="G147" s="149">
        <f t="shared" si="112"/>
        <v>0.5499330166</v>
      </c>
      <c r="H147" s="149">
        <f t="shared" si="112"/>
        <v>2.487974344</v>
      </c>
      <c r="I147" s="149">
        <f t="shared" si="112"/>
        <v>48.6</v>
      </c>
      <c r="J147" s="149">
        <f t="shared" si="112"/>
        <v>0</v>
      </c>
      <c r="K147" s="149">
        <f t="shared" si="112"/>
        <v>0</v>
      </c>
      <c r="L147" s="149">
        <f t="shared" si="112"/>
        <v>0</v>
      </c>
      <c r="M147" s="149">
        <f t="shared" si="112"/>
        <v>0</v>
      </c>
      <c r="N147" s="149">
        <f t="shared" si="112"/>
        <v>0</v>
      </c>
      <c r="O147" s="149">
        <f t="shared" si="112"/>
        <v>0</v>
      </c>
      <c r="P147" s="149">
        <f t="shared" si="112"/>
        <v>0</v>
      </c>
      <c r="Q147" s="149">
        <f t="shared" si="112"/>
        <v>4.275739764</v>
      </c>
      <c r="R147" s="149">
        <f t="shared" si="112"/>
        <v>0</v>
      </c>
      <c r="S147" s="149">
        <f t="shared" si="112"/>
        <v>0</v>
      </c>
      <c r="T147" s="149">
        <f t="shared" si="112"/>
        <v>1.835056387</v>
      </c>
      <c r="U147" s="149">
        <f t="shared" si="112"/>
        <v>3.740600987</v>
      </c>
      <c r="V147" s="198"/>
      <c r="W147" s="198"/>
      <c r="X147" s="198"/>
      <c r="Y147" s="198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</row>
    <row r="148" ht="15.75" customHeight="1">
      <c r="A148" s="381" t="s">
        <v>451</v>
      </c>
      <c r="B148" s="149">
        <f t="shared" ref="B148:U148" si="113">B117-B134</f>
        <v>1.521885417</v>
      </c>
      <c r="C148" s="149">
        <f t="shared" si="113"/>
        <v>0</v>
      </c>
      <c r="D148" s="149">
        <f t="shared" si="113"/>
        <v>25.05157554</v>
      </c>
      <c r="E148" s="149">
        <f t="shared" si="113"/>
        <v>46.12533056</v>
      </c>
      <c r="F148" s="149">
        <f t="shared" si="113"/>
        <v>0</v>
      </c>
      <c r="G148" s="149">
        <f t="shared" si="113"/>
        <v>1.288160951</v>
      </c>
      <c r="H148" s="149">
        <f t="shared" si="113"/>
        <v>5.737956177</v>
      </c>
      <c r="I148" s="149">
        <f t="shared" si="113"/>
        <v>49.2</v>
      </c>
      <c r="J148" s="149">
        <f t="shared" si="113"/>
        <v>0.4446488029</v>
      </c>
      <c r="K148" s="149">
        <f t="shared" si="113"/>
        <v>0</v>
      </c>
      <c r="L148" s="149">
        <f t="shared" si="113"/>
        <v>13.21088451</v>
      </c>
      <c r="M148" s="149">
        <f t="shared" si="113"/>
        <v>0</v>
      </c>
      <c r="N148" s="149">
        <f t="shared" si="113"/>
        <v>6.007247954</v>
      </c>
      <c r="O148" s="149">
        <f t="shared" si="113"/>
        <v>0</v>
      </c>
      <c r="P148" s="149">
        <f t="shared" si="113"/>
        <v>6.350322244</v>
      </c>
      <c r="Q148" s="149">
        <f t="shared" si="113"/>
        <v>13.61183232</v>
      </c>
      <c r="R148" s="149">
        <f t="shared" si="113"/>
        <v>0</v>
      </c>
      <c r="S148" s="149">
        <f t="shared" si="113"/>
        <v>1.835835034</v>
      </c>
      <c r="T148" s="149">
        <f t="shared" si="113"/>
        <v>8.508495146</v>
      </c>
      <c r="U148" s="149">
        <f t="shared" si="113"/>
        <v>5.125036729</v>
      </c>
      <c r="V148" s="198"/>
      <c r="W148" s="198"/>
      <c r="X148" s="198"/>
      <c r="Y148" s="198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</row>
    <row r="149" ht="15.75" customHeight="1">
      <c r="A149" s="381" t="s">
        <v>452</v>
      </c>
      <c r="B149" s="149">
        <f t="shared" ref="B149:U149" si="114">B118-B135</f>
        <v>0</v>
      </c>
      <c r="C149" s="149">
        <f t="shared" si="114"/>
        <v>0</v>
      </c>
      <c r="D149" s="149">
        <f t="shared" si="114"/>
        <v>46.15792122</v>
      </c>
      <c r="E149" s="149">
        <f t="shared" si="114"/>
        <v>162.5776646</v>
      </c>
      <c r="F149" s="149">
        <f t="shared" si="114"/>
        <v>0</v>
      </c>
      <c r="G149" s="149">
        <f t="shared" si="114"/>
        <v>3.428169314</v>
      </c>
      <c r="H149" s="149">
        <f t="shared" si="114"/>
        <v>15.11375671</v>
      </c>
      <c r="I149" s="149">
        <f t="shared" si="114"/>
        <v>0</v>
      </c>
      <c r="J149" s="149">
        <f t="shared" si="114"/>
        <v>0</v>
      </c>
      <c r="K149" s="149">
        <f t="shared" si="114"/>
        <v>0</v>
      </c>
      <c r="L149" s="149">
        <f t="shared" si="114"/>
        <v>30.48999455</v>
      </c>
      <c r="M149" s="149">
        <f t="shared" si="114"/>
        <v>0</v>
      </c>
      <c r="N149" s="149">
        <f t="shared" si="114"/>
        <v>18.99239095</v>
      </c>
      <c r="O149" s="149">
        <f t="shared" si="114"/>
        <v>0</v>
      </c>
      <c r="P149" s="149">
        <f t="shared" si="114"/>
        <v>30.07632269</v>
      </c>
      <c r="Q149" s="149">
        <f t="shared" si="114"/>
        <v>25.37660198</v>
      </c>
      <c r="R149" s="149">
        <f t="shared" si="114"/>
        <v>0</v>
      </c>
      <c r="S149" s="149">
        <f t="shared" si="114"/>
        <v>2.211643912</v>
      </c>
      <c r="T149" s="149">
        <f t="shared" si="114"/>
        <v>14.31070222</v>
      </c>
      <c r="U149" s="149">
        <f t="shared" si="114"/>
        <v>10.16110404</v>
      </c>
      <c r="V149" s="198"/>
      <c r="W149" s="198"/>
      <c r="X149" s="198"/>
      <c r="Y149" s="198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98"/>
      <c r="AL149" s="198"/>
      <c r="AM149" s="198"/>
      <c r="AN149" s="198"/>
      <c r="AO149" s="198"/>
      <c r="AP149" s="198"/>
      <c r="AQ149" s="198"/>
      <c r="AR149" s="198"/>
      <c r="AS149" s="198"/>
    </row>
    <row r="150" ht="15.75" customHeight="1">
      <c r="A150" s="381" t="s">
        <v>453</v>
      </c>
      <c r="B150" s="149">
        <f t="shared" ref="B150:U150" si="115">B119-B136</f>
        <v>0</v>
      </c>
      <c r="C150" s="149">
        <f t="shared" si="115"/>
        <v>0</v>
      </c>
      <c r="D150" s="149">
        <f t="shared" si="115"/>
        <v>90.21896425</v>
      </c>
      <c r="E150" s="149">
        <f t="shared" si="115"/>
        <v>318.3835024</v>
      </c>
      <c r="F150" s="149">
        <f t="shared" si="115"/>
        <v>0</v>
      </c>
      <c r="G150" s="149">
        <f t="shared" si="115"/>
        <v>3.677121636</v>
      </c>
      <c r="H150" s="149">
        <f t="shared" si="115"/>
        <v>16.04586927</v>
      </c>
      <c r="I150" s="149">
        <f t="shared" si="115"/>
        <v>51</v>
      </c>
      <c r="J150" s="149">
        <f t="shared" si="115"/>
        <v>0.6362618914</v>
      </c>
      <c r="K150" s="149">
        <f t="shared" si="115"/>
        <v>0</v>
      </c>
      <c r="L150" s="149">
        <f t="shared" si="115"/>
        <v>74.49604185</v>
      </c>
      <c r="M150" s="149">
        <f t="shared" si="115"/>
        <v>0</v>
      </c>
      <c r="N150" s="149">
        <f t="shared" si="115"/>
        <v>43.93803758</v>
      </c>
      <c r="O150" s="149">
        <f t="shared" si="115"/>
        <v>0</v>
      </c>
      <c r="P150" s="149">
        <f t="shared" si="115"/>
        <v>69.49272306</v>
      </c>
      <c r="Q150" s="149">
        <f t="shared" si="115"/>
        <v>48.06418893</v>
      </c>
      <c r="R150" s="149">
        <f t="shared" si="115"/>
        <v>0</v>
      </c>
      <c r="S150" s="149">
        <f t="shared" si="115"/>
        <v>4.331240164</v>
      </c>
      <c r="T150" s="149">
        <f t="shared" si="115"/>
        <v>39.52760736</v>
      </c>
      <c r="U150" s="149">
        <f t="shared" si="115"/>
        <v>14.15037788</v>
      </c>
      <c r="V150" s="198"/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</row>
    <row r="151" ht="15.75" customHeight="1">
      <c r="A151" s="381" t="s">
        <v>454</v>
      </c>
      <c r="B151" s="149">
        <f t="shared" ref="B151:U151" si="116">B120-B137</f>
        <v>2.54234506</v>
      </c>
      <c r="C151" s="149">
        <f t="shared" si="116"/>
        <v>0</v>
      </c>
      <c r="D151" s="149">
        <f t="shared" si="116"/>
        <v>141.7779091</v>
      </c>
      <c r="E151" s="149">
        <f t="shared" si="116"/>
        <v>766.3219123</v>
      </c>
      <c r="F151" s="149">
        <f t="shared" si="116"/>
        <v>0</v>
      </c>
      <c r="G151" s="149">
        <f t="shared" si="116"/>
        <v>4.342383063</v>
      </c>
      <c r="H151" s="149">
        <f t="shared" si="116"/>
        <v>18.74372185</v>
      </c>
      <c r="I151" s="149">
        <f t="shared" si="116"/>
        <v>52.5</v>
      </c>
      <c r="J151" s="149">
        <f t="shared" si="116"/>
        <v>0.7524099592</v>
      </c>
      <c r="K151" s="149">
        <f t="shared" si="116"/>
        <v>0</v>
      </c>
      <c r="L151" s="149">
        <f t="shared" si="116"/>
        <v>83.98815475</v>
      </c>
      <c r="M151" s="149">
        <f t="shared" si="116"/>
        <v>0</v>
      </c>
      <c r="N151" s="149">
        <f t="shared" si="116"/>
        <v>107.9876774</v>
      </c>
      <c r="O151" s="149">
        <f t="shared" si="116"/>
        <v>0</v>
      </c>
      <c r="P151" s="149">
        <f t="shared" si="116"/>
        <v>153.8503771</v>
      </c>
      <c r="Q151" s="149">
        <f t="shared" si="116"/>
        <v>74.16870803</v>
      </c>
      <c r="R151" s="149">
        <f t="shared" si="116"/>
        <v>0</v>
      </c>
      <c r="S151" s="149">
        <f t="shared" si="116"/>
        <v>10.18475789</v>
      </c>
      <c r="T151" s="149">
        <f t="shared" si="116"/>
        <v>82.84766933</v>
      </c>
      <c r="U151" s="149">
        <f t="shared" si="116"/>
        <v>87.57964712</v>
      </c>
      <c r="V151" s="198"/>
      <c r="W151" s="198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198"/>
    </row>
    <row r="152" ht="15.75" customHeight="1">
      <c r="A152" s="381" t="s">
        <v>455</v>
      </c>
      <c r="B152" s="149">
        <f t="shared" ref="B152:U152" si="117">B121-B138</f>
        <v>2.678623798</v>
      </c>
      <c r="C152" s="149">
        <f t="shared" si="117"/>
        <v>0</v>
      </c>
      <c r="D152" s="149">
        <f t="shared" si="117"/>
        <v>513.0233685</v>
      </c>
      <c r="E152" s="149">
        <f t="shared" si="117"/>
        <v>1289.924799</v>
      </c>
      <c r="F152" s="149">
        <f t="shared" si="117"/>
        <v>0</v>
      </c>
      <c r="G152" s="149">
        <f t="shared" si="117"/>
        <v>5.949626387</v>
      </c>
      <c r="H152" s="149">
        <f t="shared" si="117"/>
        <v>25.65229559</v>
      </c>
      <c r="I152" s="149">
        <f t="shared" si="117"/>
        <v>54.6</v>
      </c>
      <c r="J152" s="149">
        <f t="shared" si="117"/>
        <v>0</v>
      </c>
      <c r="K152" s="149">
        <f t="shared" si="117"/>
        <v>0</v>
      </c>
      <c r="L152" s="149">
        <f t="shared" si="117"/>
        <v>142.3182463</v>
      </c>
      <c r="M152" s="149">
        <f t="shared" si="117"/>
        <v>0</v>
      </c>
      <c r="N152" s="149">
        <f t="shared" si="117"/>
        <v>163.6722061</v>
      </c>
      <c r="O152" s="149">
        <f t="shared" si="117"/>
        <v>0</v>
      </c>
      <c r="P152" s="149">
        <f t="shared" si="117"/>
        <v>242.6699704</v>
      </c>
      <c r="Q152" s="149">
        <f t="shared" si="117"/>
        <v>136.5122214</v>
      </c>
      <c r="R152" s="149">
        <f t="shared" si="117"/>
        <v>0</v>
      </c>
      <c r="S152" s="149">
        <f t="shared" si="117"/>
        <v>15.02095808</v>
      </c>
      <c r="T152" s="149">
        <f t="shared" si="117"/>
        <v>133.0938959</v>
      </c>
      <c r="U152" s="149">
        <f t="shared" si="117"/>
        <v>132.4476356</v>
      </c>
      <c r="V152" s="198"/>
      <c r="W152" s="198"/>
      <c r="X152" s="198"/>
      <c r="Y152" s="198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98"/>
      <c r="AL152" s="198"/>
      <c r="AM152" s="198"/>
      <c r="AN152" s="198"/>
      <c r="AO152" s="198"/>
      <c r="AP152" s="198"/>
      <c r="AQ152" s="198"/>
      <c r="AR152" s="198"/>
      <c r="AS152" s="198"/>
    </row>
    <row r="153" ht="15.75" customHeight="1">
      <c r="A153" s="381" t="s">
        <v>456</v>
      </c>
      <c r="B153" s="149">
        <f t="shared" ref="B153:U153" si="118">B122-B139</f>
        <v>2.811083217</v>
      </c>
      <c r="C153" s="149">
        <f t="shared" si="118"/>
        <v>0</v>
      </c>
      <c r="D153" s="149">
        <f t="shared" si="118"/>
        <v>1124.642437</v>
      </c>
      <c r="E153" s="149">
        <f t="shared" si="118"/>
        <v>2722.532974</v>
      </c>
      <c r="F153" s="149">
        <f t="shared" si="118"/>
        <v>0</v>
      </c>
      <c r="G153" s="149">
        <f t="shared" si="118"/>
        <v>8.165019814</v>
      </c>
      <c r="H153" s="149">
        <f t="shared" si="118"/>
        <v>35.20414362</v>
      </c>
      <c r="I153" s="149">
        <f t="shared" si="118"/>
        <v>171.9</v>
      </c>
      <c r="J153" s="149">
        <f t="shared" si="118"/>
        <v>1.664666811</v>
      </c>
      <c r="K153" s="149">
        <f t="shared" si="118"/>
        <v>0</v>
      </c>
      <c r="L153" s="149">
        <f t="shared" si="118"/>
        <v>234.7022256</v>
      </c>
      <c r="M153" s="149">
        <f t="shared" si="118"/>
        <v>0</v>
      </c>
      <c r="N153" s="149">
        <f t="shared" si="118"/>
        <v>252.3906906</v>
      </c>
      <c r="O153" s="149">
        <f t="shared" si="118"/>
        <v>0</v>
      </c>
      <c r="P153" s="149">
        <f t="shared" si="118"/>
        <v>549.939854</v>
      </c>
      <c r="Q153" s="149">
        <f t="shared" si="118"/>
        <v>306.9917694</v>
      </c>
      <c r="R153" s="149">
        <f t="shared" si="118"/>
        <v>0</v>
      </c>
      <c r="S153" s="149">
        <f t="shared" si="118"/>
        <v>36.03143477</v>
      </c>
      <c r="T153" s="149">
        <f t="shared" si="118"/>
        <v>285.5587226</v>
      </c>
      <c r="U153" s="149">
        <f t="shared" si="118"/>
        <v>268.9294503</v>
      </c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8"/>
    </row>
    <row r="154" ht="15.75" customHeight="1">
      <c r="A154" s="381" t="s">
        <v>457</v>
      </c>
      <c r="B154" s="149">
        <f t="shared" ref="B154:U154" si="119">B123</f>
        <v>4.941936725</v>
      </c>
      <c r="C154" s="149">
        <f t="shared" si="119"/>
        <v>0</v>
      </c>
      <c r="D154" s="149">
        <f t="shared" si="119"/>
        <v>1990.730739</v>
      </c>
      <c r="E154" s="149">
        <f t="shared" si="119"/>
        <v>2735.79322</v>
      </c>
      <c r="F154" s="149">
        <f t="shared" si="119"/>
        <v>0</v>
      </c>
      <c r="G154" s="149">
        <f t="shared" si="119"/>
        <v>12.91141232</v>
      </c>
      <c r="H154" s="149">
        <f t="shared" si="119"/>
        <v>56.74549152</v>
      </c>
      <c r="I154" s="149">
        <f t="shared" si="119"/>
        <v>112.7</v>
      </c>
      <c r="J154" s="149">
        <f t="shared" si="119"/>
        <v>2.540597192</v>
      </c>
      <c r="K154" s="149">
        <f t="shared" si="119"/>
        <v>0</v>
      </c>
      <c r="L154" s="149">
        <f t="shared" si="119"/>
        <v>268.3872262</v>
      </c>
      <c r="M154" s="149">
        <f t="shared" si="119"/>
        <v>0</v>
      </c>
      <c r="N154" s="149">
        <f t="shared" si="119"/>
        <v>288.5182817</v>
      </c>
      <c r="O154" s="149">
        <f t="shared" si="119"/>
        <v>0</v>
      </c>
      <c r="P154" s="149">
        <f t="shared" si="119"/>
        <v>530.9536174</v>
      </c>
      <c r="Q154" s="149">
        <f t="shared" si="119"/>
        <v>472.7747806</v>
      </c>
      <c r="R154" s="149">
        <f t="shared" si="119"/>
        <v>0</v>
      </c>
      <c r="S154" s="149">
        <f t="shared" si="119"/>
        <v>41.66390386</v>
      </c>
      <c r="T154" s="149">
        <f t="shared" si="119"/>
        <v>275.2069262</v>
      </c>
      <c r="U154" s="149">
        <f t="shared" si="119"/>
        <v>310.5605448</v>
      </c>
      <c r="V154" s="198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  <c r="AL154" s="198"/>
      <c r="AM154" s="198"/>
      <c r="AN154" s="198"/>
      <c r="AO154" s="198"/>
      <c r="AP154" s="198"/>
      <c r="AQ154" s="198"/>
      <c r="AR154" s="198"/>
      <c r="AS154" s="198"/>
    </row>
    <row r="155" ht="15.75" customHeight="1">
      <c r="A155" s="381" t="s">
        <v>458</v>
      </c>
      <c r="B155" s="149">
        <f t="shared" ref="B155:U155" si="120">B124</f>
        <v>2.691498288</v>
      </c>
      <c r="C155" s="149">
        <f t="shared" si="120"/>
        <v>0</v>
      </c>
      <c r="D155" s="149">
        <f t="shared" si="120"/>
        <v>2010.767445</v>
      </c>
      <c r="E155" s="149">
        <f t="shared" si="120"/>
        <v>2629.498579</v>
      </c>
      <c r="F155" s="149">
        <f t="shared" si="120"/>
        <v>0</v>
      </c>
      <c r="G155" s="149">
        <f t="shared" si="120"/>
        <v>10.04345195</v>
      </c>
      <c r="H155" s="149">
        <f t="shared" si="120"/>
        <v>44.42778454</v>
      </c>
      <c r="I155" s="149">
        <f t="shared" si="120"/>
        <v>64.5</v>
      </c>
      <c r="J155" s="149">
        <f t="shared" si="120"/>
        <v>2.62862271</v>
      </c>
      <c r="K155" s="149">
        <f t="shared" si="120"/>
        <v>12.06373981</v>
      </c>
      <c r="L155" s="149">
        <f t="shared" si="120"/>
        <v>249.4089184</v>
      </c>
      <c r="M155" s="149">
        <f t="shared" si="120"/>
        <v>0</v>
      </c>
      <c r="N155" s="149">
        <f t="shared" si="120"/>
        <v>255.5318843</v>
      </c>
      <c r="O155" s="149">
        <f t="shared" si="120"/>
        <v>0</v>
      </c>
      <c r="P155" s="149">
        <f t="shared" si="120"/>
        <v>421.4672911</v>
      </c>
      <c r="Q155" s="149">
        <f t="shared" si="120"/>
        <v>385.9903932</v>
      </c>
      <c r="R155" s="149">
        <f t="shared" si="120"/>
        <v>0</v>
      </c>
      <c r="S155" s="149">
        <f t="shared" si="120"/>
        <v>23.78988005</v>
      </c>
      <c r="T155" s="149">
        <f t="shared" si="120"/>
        <v>274.6323689</v>
      </c>
      <c r="U155" s="149">
        <f t="shared" si="120"/>
        <v>318.7724515</v>
      </c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198"/>
    </row>
    <row r="156" ht="15.75" customHeight="1">
      <c r="A156" s="381" t="s">
        <v>459</v>
      </c>
      <c r="B156" s="149">
        <f t="shared" ref="B156:U156" si="121">B125</f>
        <v>4.532368616</v>
      </c>
      <c r="C156" s="149">
        <f t="shared" si="121"/>
        <v>3.184955513</v>
      </c>
      <c r="D156" s="149">
        <f t="shared" si="121"/>
        <v>2737.041582</v>
      </c>
      <c r="E156" s="149">
        <f t="shared" si="121"/>
        <v>3742.70571</v>
      </c>
      <c r="F156" s="149">
        <f t="shared" si="121"/>
        <v>0</v>
      </c>
      <c r="G156" s="149">
        <f t="shared" si="121"/>
        <v>8.19002899</v>
      </c>
      <c r="H156" s="149">
        <f t="shared" si="121"/>
        <v>36.70905818</v>
      </c>
      <c r="I156" s="149">
        <f t="shared" si="121"/>
        <v>0</v>
      </c>
      <c r="J156" s="149">
        <f t="shared" si="121"/>
        <v>3.68540592</v>
      </c>
      <c r="K156" s="149">
        <f t="shared" si="121"/>
        <v>0</v>
      </c>
      <c r="L156" s="149">
        <f t="shared" si="121"/>
        <v>297.3367079</v>
      </c>
      <c r="M156" s="149">
        <f t="shared" si="121"/>
        <v>0</v>
      </c>
      <c r="N156" s="149">
        <f t="shared" si="121"/>
        <v>212.0109791</v>
      </c>
      <c r="O156" s="149">
        <f t="shared" si="121"/>
        <v>0</v>
      </c>
      <c r="P156" s="149">
        <f t="shared" si="121"/>
        <v>302.6178909</v>
      </c>
      <c r="Q156" s="149">
        <f t="shared" si="121"/>
        <v>411.7917225</v>
      </c>
      <c r="R156" s="149">
        <f t="shared" si="121"/>
        <v>0</v>
      </c>
      <c r="S156" s="149">
        <f t="shared" si="121"/>
        <v>31.12824023</v>
      </c>
      <c r="T156" s="149">
        <f t="shared" si="121"/>
        <v>403.3464978</v>
      </c>
      <c r="U156" s="149">
        <f t="shared" si="121"/>
        <v>451.5425758</v>
      </c>
      <c r="V156" s="198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198"/>
    </row>
    <row r="157" ht="15.75" customHeight="1">
      <c r="A157" s="13" t="s">
        <v>68</v>
      </c>
      <c r="B157" s="505">
        <f t="shared" ref="B157:U157" si="122">SUM(B144:B156)</f>
        <v>21.71974112</v>
      </c>
      <c r="C157" s="505">
        <f t="shared" si="122"/>
        <v>3.184955513</v>
      </c>
      <c r="D157" s="505">
        <f t="shared" si="122"/>
        <v>8716.64788</v>
      </c>
      <c r="E157" s="505">
        <f t="shared" si="122"/>
        <v>14422.7609</v>
      </c>
      <c r="F157" s="505">
        <f t="shared" si="122"/>
        <v>0</v>
      </c>
      <c r="G157" s="505">
        <f t="shared" si="122"/>
        <v>59.17125019</v>
      </c>
      <c r="H157" s="505">
        <f t="shared" si="122"/>
        <v>259.7454766</v>
      </c>
      <c r="I157" s="505">
        <f t="shared" si="122"/>
        <v>605</v>
      </c>
      <c r="J157" s="505">
        <f t="shared" si="122"/>
        <v>12.49124663</v>
      </c>
      <c r="K157" s="505">
        <f t="shared" si="122"/>
        <v>12.06373981</v>
      </c>
      <c r="L157" s="505">
        <f t="shared" si="122"/>
        <v>1401.846366</v>
      </c>
      <c r="M157" s="505">
        <f t="shared" si="122"/>
        <v>0</v>
      </c>
      <c r="N157" s="505">
        <f t="shared" si="122"/>
        <v>1350.280517</v>
      </c>
      <c r="O157" s="505">
        <f t="shared" si="122"/>
        <v>0</v>
      </c>
      <c r="P157" s="505">
        <f t="shared" si="122"/>
        <v>2307.418369</v>
      </c>
      <c r="Q157" s="505">
        <f t="shared" si="122"/>
        <v>1884.577751</v>
      </c>
      <c r="R157" s="505">
        <f t="shared" si="122"/>
        <v>0</v>
      </c>
      <c r="S157" s="505">
        <f t="shared" si="122"/>
        <v>166.197894</v>
      </c>
      <c r="T157" s="505">
        <f t="shared" si="122"/>
        <v>1521.470967</v>
      </c>
      <c r="U157" s="505">
        <f t="shared" si="122"/>
        <v>1603.009425</v>
      </c>
      <c r="V157" s="149">
        <f>SUM(B157:U157)</f>
        <v>34347.58648</v>
      </c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</row>
    <row r="158" ht="15.75" customHeight="1">
      <c r="A158" s="198"/>
      <c r="B158" s="198"/>
      <c r="C158" s="198"/>
      <c r="D158" s="198"/>
      <c r="E158" s="198"/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  <c r="AK158" s="198"/>
      <c r="AL158" s="198"/>
      <c r="AM158" s="198"/>
      <c r="AN158" s="198"/>
      <c r="AO158" s="198"/>
      <c r="AP158" s="198"/>
      <c r="AQ158" s="198"/>
      <c r="AR158" s="198"/>
      <c r="AS158" s="198"/>
    </row>
    <row r="159" ht="15.75" customHeight="1">
      <c r="A159" s="218" t="s">
        <v>420</v>
      </c>
      <c r="B159" s="219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1"/>
      <c r="X159" s="221"/>
      <c r="Y159" s="221"/>
      <c r="Z159" s="221"/>
      <c r="AA159" s="221"/>
      <c r="AB159" s="221"/>
      <c r="AC159" s="221"/>
      <c r="AD159" s="221"/>
      <c r="AE159" s="221"/>
      <c r="AF159" s="221"/>
      <c r="AG159" s="221"/>
      <c r="AH159" s="221"/>
      <c r="AI159" s="221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</row>
    <row r="160" ht="15.75" customHeight="1">
      <c r="A160" s="198"/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198"/>
    </row>
    <row r="161" ht="15.75" customHeight="1">
      <c r="A161" s="13" t="s">
        <v>602</v>
      </c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  <c r="AK161" s="198"/>
      <c r="AL161" s="198"/>
      <c r="AM161" s="198"/>
      <c r="AN161" s="198"/>
      <c r="AO161" s="198"/>
      <c r="AP161" s="198"/>
      <c r="AQ161" s="198"/>
      <c r="AR161" s="198"/>
      <c r="AS161" s="198"/>
    </row>
    <row r="162" ht="15.75" customHeight="1">
      <c r="A162" s="262" t="s">
        <v>468</v>
      </c>
      <c r="B162" s="504" t="s">
        <v>288</v>
      </c>
      <c r="C162" s="504" t="s">
        <v>405</v>
      </c>
      <c r="D162" s="504" t="s">
        <v>469</v>
      </c>
      <c r="E162" s="504" t="s">
        <v>294</v>
      </c>
      <c r="F162" s="504" t="s">
        <v>296</v>
      </c>
      <c r="G162" s="504" t="s">
        <v>298</v>
      </c>
      <c r="H162" s="504" t="s">
        <v>300</v>
      </c>
      <c r="I162" s="504" t="s">
        <v>89</v>
      </c>
      <c r="J162" s="504" t="s">
        <v>303</v>
      </c>
      <c r="K162" s="504" t="s">
        <v>470</v>
      </c>
      <c r="L162" s="504" t="s">
        <v>307</v>
      </c>
      <c r="M162" s="504" t="s">
        <v>406</v>
      </c>
      <c r="N162" s="504" t="s">
        <v>311</v>
      </c>
      <c r="O162" s="504" t="s">
        <v>313</v>
      </c>
      <c r="P162" s="504" t="s">
        <v>315</v>
      </c>
      <c r="Q162" s="504" t="s">
        <v>407</v>
      </c>
      <c r="R162" s="504" t="s">
        <v>319</v>
      </c>
      <c r="S162" s="504" t="s">
        <v>321</v>
      </c>
      <c r="T162" s="504" t="s">
        <v>323</v>
      </c>
      <c r="U162" s="504" t="s">
        <v>408</v>
      </c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198"/>
      <c r="AP162" s="198"/>
      <c r="AQ162" s="198"/>
      <c r="AR162" s="198"/>
      <c r="AS162" s="198"/>
    </row>
    <row r="163" ht="15.75" customHeight="1">
      <c r="A163" s="381" t="s">
        <v>447</v>
      </c>
      <c r="B163" s="146">
        <f>B26*'Pomocná data V. PAF'!C100</f>
        <v>0</v>
      </c>
      <c r="C163" s="146">
        <f>C26*'Pomocná data V. PAF'!D100</f>
        <v>0</v>
      </c>
      <c r="D163" s="146">
        <f>D26*'Pomocná data V. PAF'!E100</f>
        <v>0</v>
      </c>
      <c r="E163" s="146">
        <f>E26*'Pomocná data V. PAF'!F100</f>
        <v>0</v>
      </c>
      <c r="F163" s="146">
        <f>F26*'Pomocná data V. PAF'!G100</f>
        <v>0</v>
      </c>
      <c r="G163" s="146">
        <f>G26*'Pomocná data V. PAF'!H100</f>
        <v>0</v>
      </c>
      <c r="H163" s="146">
        <f>H26*'Pomocná data V. PAF'!I100</f>
        <v>0</v>
      </c>
      <c r="I163" s="146">
        <f>I26*'Pomocná data V. PAF'!J100</f>
        <v>0</v>
      </c>
      <c r="J163" s="146">
        <f>J26*'Pomocná data V. PAF'!K100</f>
        <v>0</v>
      </c>
      <c r="K163" s="146">
        <f>K26*'Pomocná data V. PAF'!L100</f>
        <v>0</v>
      </c>
      <c r="L163" s="146">
        <f>L26*'Pomocná data V. PAF'!M100</f>
        <v>0</v>
      </c>
      <c r="M163" s="146">
        <f>M26*'Pomocná data V. PAF'!N100</f>
        <v>0</v>
      </c>
      <c r="N163" s="146">
        <f>N26*'Pomocná data V. PAF'!O100</f>
        <v>8.134238195</v>
      </c>
      <c r="O163" s="146">
        <f>O26*'Pomocná data V. PAF'!P100</f>
        <v>0</v>
      </c>
      <c r="P163" s="146">
        <f>P26*'Pomocná data V. PAF'!Q100</f>
        <v>0</v>
      </c>
      <c r="Q163" s="146">
        <f>Q26*'Pomocná data V. PAF'!R100</f>
        <v>0</v>
      </c>
      <c r="R163" s="146">
        <f>R26*'Pomocná data V. PAF'!S100</f>
        <v>0</v>
      </c>
      <c r="S163" s="146">
        <f>S26*'Pomocná data V. PAF'!T100</f>
        <v>0</v>
      </c>
      <c r="T163" s="146">
        <f>T26*'Pomocná data V. PAF'!U100</f>
        <v>12.04403155</v>
      </c>
      <c r="U163" s="146">
        <f>U26*'Pomocná data V. PAF'!V100</f>
        <v>0</v>
      </c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198"/>
    </row>
    <row r="164" ht="15.75" customHeight="1">
      <c r="A164" s="381" t="s">
        <v>448</v>
      </c>
      <c r="B164" s="146">
        <f>B27*'Pomocná data V. PAF'!C101</f>
        <v>0</v>
      </c>
      <c r="C164" s="146">
        <f>C27*'Pomocná data V. PAF'!D101</f>
        <v>0</v>
      </c>
      <c r="D164" s="146">
        <f>D27*'Pomocná data V. PAF'!E101</f>
        <v>0</v>
      </c>
      <c r="E164" s="146">
        <f>E27*'Pomocná data V. PAF'!F101</f>
        <v>0</v>
      </c>
      <c r="F164" s="146">
        <f>F27*'Pomocná data V. PAF'!G101</f>
        <v>0</v>
      </c>
      <c r="G164" s="146">
        <f>G27*'Pomocná data V. PAF'!H101</f>
        <v>5.763523957</v>
      </c>
      <c r="H164" s="146">
        <f>H27*'Pomocná data V. PAF'!I101</f>
        <v>8.500759878</v>
      </c>
      <c r="I164" s="146">
        <f>I27*'Pomocná data V. PAF'!J101</f>
        <v>0</v>
      </c>
      <c r="J164" s="146">
        <f>J27*'Pomocná data V. PAF'!K101</f>
        <v>11.14798206</v>
      </c>
      <c r="K164" s="146">
        <f>K27*'Pomocná data V. PAF'!L101</f>
        <v>0</v>
      </c>
      <c r="L164" s="146">
        <f>L27*'Pomocná data V. PAF'!M101</f>
        <v>0</v>
      </c>
      <c r="M164" s="146">
        <f>M27*'Pomocná data V. PAF'!N101</f>
        <v>0</v>
      </c>
      <c r="N164" s="146">
        <f>N27*'Pomocná data V. PAF'!O101</f>
        <v>0</v>
      </c>
      <c r="O164" s="146">
        <f>O27*'Pomocná data V. PAF'!P101</f>
        <v>0</v>
      </c>
      <c r="P164" s="146">
        <f>P27*'Pomocná data V. PAF'!Q101</f>
        <v>0</v>
      </c>
      <c r="Q164" s="146">
        <f>Q27*'Pomocná data V. PAF'!R101</f>
        <v>15.67944219</v>
      </c>
      <c r="R164" s="146">
        <f>R27*'Pomocná data V. PAF'!S101</f>
        <v>0</v>
      </c>
      <c r="S164" s="146">
        <f>S27*'Pomocná data V. PAF'!T101</f>
        <v>0</v>
      </c>
      <c r="T164" s="146">
        <f>T27*'Pomocná data V. PAF'!U101</f>
        <v>17.69989253</v>
      </c>
      <c r="U164" s="146">
        <f>U27*'Pomocná data V. PAF'!V101</f>
        <v>0</v>
      </c>
      <c r="V164" s="198"/>
      <c r="W164" s="198"/>
      <c r="X164" s="198"/>
      <c r="Y164" s="198"/>
      <c r="Z164" s="198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  <c r="AK164" s="198"/>
      <c r="AL164" s="198"/>
      <c r="AM164" s="198"/>
      <c r="AN164" s="198"/>
      <c r="AO164" s="198"/>
      <c r="AP164" s="198"/>
      <c r="AQ164" s="198"/>
      <c r="AR164" s="198"/>
      <c r="AS164" s="198"/>
    </row>
    <row r="165" ht="15.75" customHeight="1">
      <c r="A165" s="381" t="s">
        <v>449</v>
      </c>
      <c r="B165" s="146">
        <f>B28*'Pomocná data V. PAF'!C102</f>
        <v>0</v>
      </c>
      <c r="C165" s="146">
        <f>C28*'Pomocná data V. PAF'!D102</f>
        <v>0</v>
      </c>
      <c r="D165" s="146">
        <f>D28*'Pomocná data V. PAF'!E102</f>
        <v>70.2554162</v>
      </c>
      <c r="E165" s="146">
        <f>E28*'Pomocná data V. PAF'!F102</f>
        <v>26.75394837</v>
      </c>
      <c r="F165" s="146">
        <f>F28*'Pomocná data V. PAF'!G102</f>
        <v>0</v>
      </c>
      <c r="G165" s="146">
        <f>G28*'Pomocná data V. PAF'!H102</f>
        <v>8.124789629</v>
      </c>
      <c r="H165" s="146">
        <f>H28*'Pomocná data V. PAF'!I102</f>
        <v>11.87612381</v>
      </c>
      <c r="I165" s="146">
        <f>I28*'Pomocná data V. PAF'!J102</f>
        <v>0</v>
      </c>
      <c r="J165" s="146">
        <f>J28*'Pomocná data V. PAF'!K102</f>
        <v>0</v>
      </c>
      <c r="K165" s="146">
        <f>K28*'Pomocná data V. PAF'!L102</f>
        <v>0</v>
      </c>
      <c r="L165" s="146">
        <f>L28*'Pomocná data V. PAF'!M102</f>
        <v>46.60596391</v>
      </c>
      <c r="M165" s="146">
        <f>M28*'Pomocná data V. PAF'!N102</f>
        <v>0</v>
      </c>
      <c r="N165" s="146">
        <f>N28*'Pomocná data V. PAF'!O102</f>
        <v>0</v>
      </c>
      <c r="O165" s="146">
        <f>O28*'Pomocná data V. PAF'!P102</f>
        <v>0</v>
      </c>
      <c r="P165" s="146">
        <f>P28*'Pomocná data V. PAF'!Q102</f>
        <v>0</v>
      </c>
      <c r="Q165" s="146">
        <f>Q28*'Pomocná data V. PAF'!R102</f>
        <v>21.40251606</v>
      </c>
      <c r="R165" s="146">
        <f>R28*'Pomocná data V. PAF'!S102</f>
        <v>0</v>
      </c>
      <c r="S165" s="146">
        <f>S28*'Pomocná data V. PAF'!T102</f>
        <v>0</v>
      </c>
      <c r="T165" s="146">
        <f>T28*'Pomocná data V. PAF'!U102</f>
        <v>24.00538959</v>
      </c>
      <c r="U165" s="146">
        <f>U28*'Pomocná data V. PAF'!V102</f>
        <v>0</v>
      </c>
      <c r="V165" s="198"/>
      <c r="W165" s="198"/>
      <c r="X165" s="198"/>
      <c r="Y165" s="198"/>
      <c r="Z165" s="198"/>
      <c r="AA165" s="198"/>
      <c r="AB165" s="198"/>
      <c r="AC165" s="198"/>
      <c r="AD165" s="198"/>
      <c r="AE165" s="198"/>
      <c r="AF165" s="198"/>
      <c r="AG165" s="198"/>
      <c r="AH165" s="198"/>
      <c r="AI165" s="198"/>
      <c r="AJ165" s="198"/>
      <c r="AK165" s="198"/>
      <c r="AL165" s="198"/>
      <c r="AM165" s="198"/>
      <c r="AN165" s="198"/>
      <c r="AO165" s="198"/>
      <c r="AP165" s="198"/>
      <c r="AQ165" s="198"/>
      <c r="AR165" s="198"/>
      <c r="AS165" s="198"/>
    </row>
    <row r="166" ht="15.75" customHeight="1">
      <c r="A166" s="381" t="s">
        <v>450</v>
      </c>
      <c r="B166" s="146">
        <f>B29*'Pomocná data V. PAF'!C103</f>
        <v>0</v>
      </c>
      <c r="C166" s="146">
        <f>C29*'Pomocná data V. PAF'!D103</f>
        <v>0</v>
      </c>
      <c r="D166" s="146">
        <f>D29*'Pomocná data V. PAF'!E103</f>
        <v>76.0271449</v>
      </c>
      <c r="E166" s="146">
        <f>E29*'Pomocná data V. PAF'!F103</f>
        <v>53.54956653</v>
      </c>
      <c r="F166" s="146">
        <f>F29*'Pomocná data V. PAF'!G103</f>
        <v>0</v>
      </c>
      <c r="G166" s="146">
        <f>G29*'Pomocná data V. PAF'!H103</f>
        <v>10.2386099</v>
      </c>
      <c r="H166" s="146">
        <f>H29*'Pomocná data V. PAF'!I103</f>
        <v>14.81874172</v>
      </c>
      <c r="I166" s="146">
        <f>I29*'Pomocná data V. PAF'!J103</f>
        <v>140.7</v>
      </c>
      <c r="J166" s="146">
        <f>J29*'Pomocná data V. PAF'!K103</f>
        <v>0</v>
      </c>
      <c r="K166" s="146">
        <f>K29*'Pomocná data V. PAF'!L103</f>
        <v>0</v>
      </c>
      <c r="L166" s="146">
        <f>L29*'Pomocná data V. PAF'!M103</f>
        <v>0</v>
      </c>
      <c r="M166" s="146">
        <f>M29*'Pomocná data V. PAF'!N103</f>
        <v>0</v>
      </c>
      <c r="N166" s="146">
        <f>N29*'Pomocná data V. PAF'!O103</f>
        <v>0</v>
      </c>
      <c r="O166" s="146">
        <f>O29*'Pomocná data V. PAF'!P103</f>
        <v>0</v>
      </c>
      <c r="P166" s="146">
        <f>P29*'Pomocná data V. PAF'!Q103</f>
        <v>0</v>
      </c>
      <c r="Q166" s="146">
        <f>Q29*'Pomocná data V. PAF'!R103</f>
        <v>26.05483372</v>
      </c>
      <c r="R166" s="146">
        <f>R29*'Pomocná data V. PAF'!S103</f>
        <v>0</v>
      </c>
      <c r="S166" s="146">
        <f>S29*'Pomocná data V. PAF'!T103</f>
        <v>0</v>
      </c>
      <c r="T166" s="146">
        <f>T29*'Pomocná data V. PAF'!U103</f>
        <v>29.0302314</v>
      </c>
      <c r="U166" s="146">
        <f>U29*'Pomocná data V. PAF'!V103</f>
        <v>23.71711093</v>
      </c>
      <c r="V166" s="198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8"/>
      <c r="AP166" s="198"/>
      <c r="AQ166" s="198"/>
      <c r="AR166" s="198"/>
      <c r="AS166" s="198"/>
    </row>
    <row r="167" ht="15.75" customHeight="1">
      <c r="A167" s="381" t="s">
        <v>451</v>
      </c>
      <c r="B167" s="146">
        <f>B30*'Pomocná data V. PAF'!C104</f>
        <v>19.27698539</v>
      </c>
      <c r="C167" s="146">
        <f>C30*'Pomocná data V. PAF'!D104</f>
        <v>0</v>
      </c>
      <c r="D167" s="146">
        <f>D30*'Pomocná data V. PAF'!E104</f>
        <v>78.44676508</v>
      </c>
      <c r="E167" s="146">
        <f>E30*'Pomocná data V. PAF'!F104</f>
        <v>332.0591755</v>
      </c>
      <c r="F167" s="146">
        <f>F30*'Pomocná data V. PAF'!G104</f>
        <v>0</v>
      </c>
      <c r="G167" s="146">
        <f>G30*'Pomocná data V. PAF'!H104</f>
        <v>20.76463802</v>
      </c>
      <c r="H167" s="146">
        <f>H30*'Pomocná data V. PAF'!I104</f>
        <v>29.68293018</v>
      </c>
      <c r="I167" s="146">
        <f>I30*'Pomocná data V. PAF'!J104</f>
        <v>126.3</v>
      </c>
      <c r="J167" s="146">
        <f>J30*'Pomocná data V. PAF'!K104</f>
        <v>22.68028354</v>
      </c>
      <c r="K167" s="146">
        <f>K30*'Pomocná data V. PAF'!L104</f>
        <v>0</v>
      </c>
      <c r="L167" s="146">
        <f>L30*'Pomocná data V. PAF'!M104</f>
        <v>58.04596312</v>
      </c>
      <c r="M167" s="146">
        <f>M30*'Pomocná data V. PAF'!N104</f>
        <v>0</v>
      </c>
      <c r="N167" s="146">
        <f>N30*'Pomocná data V. PAF'!O104</f>
        <v>24.39585283</v>
      </c>
      <c r="O167" s="146">
        <f>O30*'Pomocná data V. PAF'!P104</f>
        <v>0</v>
      </c>
      <c r="P167" s="146">
        <f>P30*'Pomocná data V. PAF'!Q104</f>
        <v>42.06181202</v>
      </c>
      <c r="Q167" s="146">
        <f>Q30*'Pomocná data V. PAF'!R104</f>
        <v>70.92027154</v>
      </c>
      <c r="R167" s="146">
        <f>R30*'Pomocná data V. PAF'!S104</f>
        <v>0</v>
      </c>
      <c r="S167" s="146">
        <f>S30*'Pomocná data V. PAF'!T104</f>
        <v>20.50338415</v>
      </c>
      <c r="T167" s="146">
        <f>T30*'Pomocná data V. PAF'!U104</f>
        <v>112.0137099</v>
      </c>
      <c r="U167" s="146">
        <f>U30*'Pomocná data V. PAF'!V104</f>
        <v>27.83735811</v>
      </c>
      <c r="V167" s="198"/>
      <c r="W167" s="198"/>
      <c r="X167" s="198"/>
      <c r="Y167" s="198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  <c r="AK167" s="198"/>
      <c r="AL167" s="198"/>
      <c r="AM167" s="198"/>
      <c r="AN167" s="198"/>
      <c r="AO167" s="198"/>
      <c r="AP167" s="198"/>
      <c r="AQ167" s="198"/>
      <c r="AR167" s="198"/>
      <c r="AS167" s="198"/>
    </row>
    <row r="168" ht="15.75" customHeight="1">
      <c r="A168" s="381" t="s">
        <v>452</v>
      </c>
      <c r="B168" s="146">
        <f>B31*'Pomocná data V. PAF'!C105</f>
        <v>0</v>
      </c>
      <c r="C168" s="146">
        <f>C31*'Pomocná data V. PAF'!D105</f>
        <v>0</v>
      </c>
      <c r="D168" s="146">
        <f>D31*'Pomocná data V. PAF'!E105</f>
        <v>123.6806436</v>
      </c>
      <c r="E168" s="146">
        <f>E31*'Pomocná data V. PAF'!F105</f>
        <v>986.2571757</v>
      </c>
      <c r="F168" s="146">
        <f>F31*'Pomocná data V. PAF'!G105</f>
        <v>0</v>
      </c>
      <c r="G168" s="146">
        <f>G31*'Pomocná data V. PAF'!H105</f>
        <v>47.45803255</v>
      </c>
      <c r="H168" s="146">
        <f>H31*'Pomocná data V. PAF'!I105</f>
        <v>67.30498494</v>
      </c>
      <c r="I168" s="146">
        <f>I31*'Pomocná data V. PAF'!J105</f>
        <v>0</v>
      </c>
      <c r="J168" s="146">
        <f>J31*'Pomocná data V. PAF'!K105</f>
        <v>0</v>
      </c>
      <c r="K168" s="146">
        <f>K31*'Pomocná data V. PAF'!L105</f>
        <v>0</v>
      </c>
      <c r="L168" s="146">
        <f>L31*'Pomocná data V. PAF'!M105</f>
        <v>112.9421237</v>
      </c>
      <c r="M168" s="146">
        <f>M31*'Pomocná data V. PAF'!N105</f>
        <v>0</v>
      </c>
      <c r="N168" s="146">
        <f>N31*'Pomocná data V. PAF'!O105</f>
        <v>66.40482396</v>
      </c>
      <c r="O168" s="146">
        <f>O31*'Pomocná data V. PAF'!P105</f>
        <v>0</v>
      </c>
      <c r="P168" s="146">
        <f>P31*'Pomocná data V. PAF'!Q105</f>
        <v>167.4118687</v>
      </c>
      <c r="Q168" s="146">
        <f>Q31*'Pomocná data V. PAF'!R105</f>
        <v>112.7683052</v>
      </c>
      <c r="R168" s="146">
        <f>R31*'Pomocná data V. PAF'!S105</f>
        <v>0</v>
      </c>
      <c r="S168" s="146">
        <f>S31*'Pomocná data V. PAF'!T105</f>
        <v>21.0484192</v>
      </c>
      <c r="T168" s="146">
        <f>T31*'Pomocná data V. PAF'!U105</f>
        <v>157.9447746</v>
      </c>
      <c r="U168" s="146">
        <f>U31*'Pomocná data V. PAF'!V105</f>
        <v>47.1206802</v>
      </c>
      <c r="V168" s="198"/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98"/>
    </row>
    <row r="169" ht="15.75" customHeight="1">
      <c r="A169" s="381" t="s">
        <v>453</v>
      </c>
      <c r="B169" s="146">
        <f>B32*'Pomocná data V. PAF'!C106</f>
        <v>0</v>
      </c>
      <c r="C169" s="146">
        <f>C32*'Pomocná data V. PAF'!D106</f>
        <v>0</v>
      </c>
      <c r="D169" s="146">
        <f>D32*'Pomocná data V. PAF'!E106</f>
        <v>204.3231592</v>
      </c>
      <c r="E169" s="146">
        <f>E32*'Pomocná data V. PAF'!F106</f>
        <v>1605.68341</v>
      </c>
      <c r="F169" s="146">
        <f>F32*'Pomocná data V. PAF'!G106</f>
        <v>0</v>
      </c>
      <c r="G169" s="146">
        <f>G32*'Pomocná data V. PAF'!H106</f>
        <v>43.04723862</v>
      </c>
      <c r="H169" s="146">
        <f>H32*'Pomocná data V. PAF'!I106</f>
        <v>60.58318397</v>
      </c>
      <c r="I169" s="146">
        <f>I32*'Pomocná data V. PAF'!J106</f>
        <v>98.1</v>
      </c>
      <c r="J169" s="146">
        <f>J32*'Pomocná data V. PAF'!K106</f>
        <v>22.82375691</v>
      </c>
      <c r="K169" s="146">
        <f>K32*'Pomocná data V. PAF'!L106</f>
        <v>0</v>
      </c>
      <c r="L169" s="146">
        <f>L32*'Pomocná data V. PAF'!M106</f>
        <v>229.926164</v>
      </c>
      <c r="M169" s="146">
        <f>M32*'Pomocná data V. PAF'!N106</f>
        <v>0</v>
      </c>
      <c r="N169" s="146">
        <f>N32*'Pomocná data V. PAF'!O106</f>
        <v>130.2965925</v>
      </c>
      <c r="O169" s="146">
        <f>O32*'Pomocná data V. PAF'!P106</f>
        <v>0</v>
      </c>
      <c r="P169" s="146">
        <f>P32*'Pomocná data V. PAF'!Q106</f>
        <v>320.881103</v>
      </c>
      <c r="Q169" s="146">
        <f>Q32*'Pomocná data V. PAF'!R106</f>
        <v>179.5683173</v>
      </c>
      <c r="R169" s="146">
        <f>R32*'Pomocná data V. PAF'!S106</f>
        <v>0</v>
      </c>
      <c r="S169" s="146">
        <f>S32*'Pomocná data V. PAF'!T106</f>
        <v>34.60337352</v>
      </c>
      <c r="T169" s="146">
        <f>T32*'Pomocná data V. PAF'!U106</f>
        <v>360.7416197</v>
      </c>
      <c r="U169" s="146">
        <f>U32*'Pomocná data V. PAF'!V106</f>
        <v>55.21458718</v>
      </c>
      <c r="V169" s="198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8"/>
    </row>
    <row r="170" ht="15.75" customHeight="1">
      <c r="A170" s="381" t="s">
        <v>454</v>
      </c>
      <c r="B170" s="146">
        <f>B33*'Pomocná data V. PAF'!C107</f>
        <v>18.87416066</v>
      </c>
      <c r="C170" s="146">
        <f>C33*'Pomocná data V. PAF'!D107</f>
        <v>0</v>
      </c>
      <c r="D170" s="146">
        <f>D33*'Pomocná data V. PAF'!E107</f>
        <v>265.1489399</v>
      </c>
      <c r="E170" s="146">
        <f>E33*'Pomocná data V. PAF'!F107</f>
        <v>3133.448995</v>
      </c>
      <c r="F170" s="146">
        <f>F33*'Pomocná data V. PAF'!G107</f>
        <v>0</v>
      </c>
      <c r="G170" s="146">
        <f>G33*'Pomocná data V. PAF'!H107</f>
        <v>41.89374021</v>
      </c>
      <c r="H170" s="146">
        <f>H33*'Pomocná data V. PAF'!I107</f>
        <v>58.49557747</v>
      </c>
      <c r="I170" s="146">
        <f>I33*'Pomocná data V. PAF'!J107</f>
        <v>84.6</v>
      </c>
      <c r="J170" s="146">
        <f>J33*'Pomocná data V. PAF'!K107</f>
        <v>21.88501957</v>
      </c>
      <c r="K170" s="146">
        <f>K33*'Pomocná data V. PAF'!L107</f>
        <v>0</v>
      </c>
      <c r="L170" s="146">
        <f>L33*'Pomocná data V. PAF'!M107</f>
        <v>210.9877064</v>
      </c>
      <c r="M170" s="146">
        <f>M33*'Pomocná data V. PAF'!N107</f>
        <v>0</v>
      </c>
      <c r="N170" s="146">
        <f>N33*'Pomocná data V. PAF'!O107</f>
        <v>264.8596739</v>
      </c>
      <c r="O170" s="146">
        <f>O33*'Pomocná data V. PAF'!P107</f>
        <v>0</v>
      </c>
      <c r="P170" s="146">
        <f>P33*'Pomocná data V. PAF'!Q107</f>
        <v>574.9544243</v>
      </c>
      <c r="Q170" s="146">
        <f>Q33*'Pomocná data V. PAF'!R107</f>
        <v>227.1781726</v>
      </c>
      <c r="R170" s="146">
        <f>R33*'Pomocná data V. PAF'!S107</f>
        <v>0</v>
      </c>
      <c r="S170" s="146">
        <f>S33*'Pomocná data V. PAF'!T107</f>
        <v>66.56425829</v>
      </c>
      <c r="T170" s="146">
        <f>T33*'Pomocná data V. PAF'!U107</f>
        <v>609.4039899</v>
      </c>
      <c r="U170" s="146">
        <f>U33*'Pomocná data V. PAF'!V107</f>
        <v>280.3726209</v>
      </c>
      <c r="V170" s="198"/>
      <c r="W170" s="198"/>
      <c r="X170" s="198"/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198"/>
    </row>
    <row r="171" ht="15.75" customHeight="1">
      <c r="A171" s="381" t="s">
        <v>455</v>
      </c>
      <c r="B171" s="146">
        <f>B34*'Pomocná data V. PAF'!C108</f>
        <v>16.16660445</v>
      </c>
      <c r="C171" s="146">
        <f>C34*'Pomocná data V. PAF'!D108</f>
        <v>0</v>
      </c>
      <c r="D171" s="146">
        <f>D34*'Pomocná data V. PAF'!E108</f>
        <v>780.8033074</v>
      </c>
      <c r="E171" s="146">
        <f>E34*'Pomocná data V. PAF'!F108</f>
        <v>4284.106811</v>
      </c>
      <c r="F171" s="146">
        <f>F34*'Pomocná data V. PAF'!G108</f>
        <v>0</v>
      </c>
      <c r="G171" s="146">
        <f>G34*'Pomocná data V. PAF'!H108</f>
        <v>46.69687309</v>
      </c>
      <c r="H171" s="146">
        <f>H34*'Pomocná data V. PAF'!I108</f>
        <v>65.14946733</v>
      </c>
      <c r="I171" s="146">
        <f>I34*'Pomocná data V. PAF'!J108</f>
        <v>71.7</v>
      </c>
      <c r="J171" s="146">
        <f>J34*'Pomocná data V. PAF'!K108</f>
        <v>0</v>
      </c>
      <c r="K171" s="146">
        <f>K34*'Pomocná data V. PAF'!L108</f>
        <v>0</v>
      </c>
      <c r="L171" s="146">
        <f>L34*'Pomocná data V. PAF'!M108</f>
        <v>290.5296302</v>
      </c>
      <c r="M171" s="146">
        <f>M34*'Pomocná data V. PAF'!N108</f>
        <v>0</v>
      </c>
      <c r="N171" s="146">
        <f>N34*'Pomocná data V. PAF'!O108</f>
        <v>326.7140383</v>
      </c>
      <c r="O171" s="146">
        <f>O34*'Pomocná data V. PAF'!P108</f>
        <v>0</v>
      </c>
      <c r="P171" s="146">
        <f>P34*'Pomocná data V. PAF'!Q108</f>
        <v>736.4899774</v>
      </c>
      <c r="Q171" s="146">
        <f>Q34*'Pomocná data V. PAF'!R108</f>
        <v>340.0054999</v>
      </c>
      <c r="R171" s="146">
        <f>R34*'Pomocná data V. PAF'!S108</f>
        <v>0</v>
      </c>
      <c r="S171" s="146">
        <f>S34*'Pomocná data V. PAF'!T108</f>
        <v>79.80740924</v>
      </c>
      <c r="T171" s="146">
        <f>T34*'Pomocná data V. PAF'!U108</f>
        <v>794.6851912</v>
      </c>
      <c r="U171" s="146">
        <f>U34*'Pomocná data V. PAF'!V108</f>
        <v>344.8047524</v>
      </c>
      <c r="V171" s="198"/>
      <c r="W171" s="198"/>
      <c r="X171" s="198"/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8"/>
    </row>
    <row r="172" ht="15.75" customHeight="1">
      <c r="A172" s="381" t="s">
        <v>456</v>
      </c>
      <c r="B172" s="146">
        <f>B35*'Pomocná data V. PAF'!C109</f>
        <v>13.39325389</v>
      </c>
      <c r="C172" s="146">
        <f>C35*'Pomocná data V. PAF'!D109</f>
        <v>0</v>
      </c>
      <c r="D172" s="146">
        <f>D35*'Pomocná data V. PAF'!E109</f>
        <v>1351.214427</v>
      </c>
      <c r="E172" s="146">
        <f>E35*'Pomocná data V. PAF'!F109</f>
        <v>7137.964051</v>
      </c>
      <c r="F172" s="146">
        <f>F35*'Pomocná data V. PAF'!G109</f>
        <v>0</v>
      </c>
      <c r="G172" s="146">
        <f>G35*'Pomocná data V. PAF'!H109</f>
        <v>50.58953164</v>
      </c>
      <c r="H172" s="146">
        <f>H35*'Pomocná data V. PAF'!I109</f>
        <v>70.58033699</v>
      </c>
      <c r="I172" s="146">
        <f>I35*'Pomocná data V. PAF'!J109</f>
        <v>178.2</v>
      </c>
      <c r="J172" s="146">
        <f>J35*'Pomocná data V. PAF'!K109</f>
        <v>31.04441555</v>
      </c>
      <c r="K172" s="146">
        <f>K35*'Pomocná data V. PAF'!L109</f>
        <v>0</v>
      </c>
      <c r="L172" s="146">
        <f>L35*'Pomocná data V. PAF'!M109</f>
        <v>378.2268587</v>
      </c>
      <c r="M172" s="146">
        <f>M35*'Pomocná data V. PAF'!N109</f>
        <v>0</v>
      </c>
      <c r="N172" s="146">
        <f>N35*'Pomocná data V. PAF'!O109</f>
        <v>397.71457</v>
      </c>
      <c r="O172" s="146">
        <f>O35*'Pomocná data V. PAF'!P109</f>
        <v>0</v>
      </c>
      <c r="P172" s="146">
        <f>P35*'Pomocná data V. PAF'!Q109</f>
        <v>1317.56275</v>
      </c>
      <c r="Q172" s="146">
        <f>Q35*'Pomocná data V. PAF'!R109</f>
        <v>603.5961355</v>
      </c>
      <c r="R172" s="146">
        <f>R35*'Pomocná data V. PAF'!S109</f>
        <v>0</v>
      </c>
      <c r="S172" s="146">
        <f>S35*'Pomocná data V. PAF'!T109</f>
        <v>151.1236536</v>
      </c>
      <c r="T172" s="146">
        <f>T35*'Pomocná data V. PAF'!U109</f>
        <v>1345.977261</v>
      </c>
      <c r="U172" s="146">
        <f>U35*'Pomocná data V. PAF'!V109</f>
        <v>552.6786745</v>
      </c>
      <c r="V172" s="198"/>
      <c r="W172" s="198"/>
      <c r="X172" s="198"/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8"/>
    </row>
    <row r="173" ht="15.75" customHeight="1">
      <c r="A173" s="381" t="s">
        <v>457</v>
      </c>
      <c r="B173" s="146">
        <f>B36*'Pomocná data V. PAF'!C110</f>
        <v>23.67001592</v>
      </c>
      <c r="C173" s="146">
        <f>C36*'Pomocná data V. PAF'!D110</f>
        <v>0</v>
      </c>
      <c r="D173" s="146">
        <f>D36*'Pomocná data V. PAF'!E110</f>
        <v>2369.54495</v>
      </c>
      <c r="E173" s="146">
        <f>E36*'Pomocná data V. PAF'!F110</f>
        <v>7336.242184</v>
      </c>
      <c r="F173" s="146">
        <f>F36*'Pomocná data V. PAF'!G110</f>
        <v>0</v>
      </c>
      <c r="G173" s="146">
        <f>G36*'Pomocná data V. PAF'!H110</f>
        <v>79.43497537</v>
      </c>
      <c r="H173" s="146">
        <f>H36*'Pomocná data V. PAF'!I110</f>
        <v>112.3900763</v>
      </c>
      <c r="I173" s="146">
        <f>I36*'Pomocná data V. PAF'!J110</f>
        <v>112.7</v>
      </c>
      <c r="J173" s="146">
        <f>J36*'Pomocná data V. PAF'!K110</f>
        <v>48.42135678</v>
      </c>
      <c r="K173" s="146">
        <f>K36*'Pomocná data V. PAF'!L110</f>
        <v>0</v>
      </c>
      <c r="L173" s="146">
        <f>L36*'Pomocná data V. PAF'!M110</f>
        <v>439.6890841</v>
      </c>
      <c r="M173" s="146">
        <f>M36*'Pomocná data V. PAF'!N110</f>
        <v>0</v>
      </c>
      <c r="N173" s="146">
        <f>N36*'Pomocná data V. PAF'!O110</f>
        <v>448.696498</v>
      </c>
      <c r="O173" s="146">
        <f>O36*'Pomocná data V. PAF'!P110</f>
        <v>0</v>
      </c>
      <c r="P173" s="146">
        <f>P36*'Pomocná data V. PAF'!Q110</f>
        <v>1305.482846</v>
      </c>
      <c r="Q173" s="146">
        <f>Q36*'Pomocná data V. PAF'!R110</f>
        <v>931.9307095</v>
      </c>
      <c r="R173" s="146">
        <f>R36*'Pomocná data V. PAF'!S110</f>
        <v>0</v>
      </c>
      <c r="S173" s="146">
        <f>S36*'Pomocná data V. PAF'!T110</f>
        <v>175.820165</v>
      </c>
      <c r="T173" s="146">
        <f>T36*'Pomocná data V. PAF'!U110</f>
        <v>1340.505732</v>
      </c>
      <c r="U173" s="146">
        <f>U36*'Pomocná data V. PAF'!V110</f>
        <v>639.0132112</v>
      </c>
      <c r="V173" s="198"/>
      <c r="W173" s="198"/>
      <c r="X173" s="198"/>
      <c r="Y173" s="198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198"/>
    </row>
    <row r="174" ht="15.75" customHeight="1">
      <c r="A174" s="381" t="s">
        <v>458</v>
      </c>
      <c r="B174" s="146">
        <f>B37*'Pomocná data V. PAF'!C111</f>
        <v>13.07653218</v>
      </c>
      <c r="C174" s="146">
        <f>C37*'Pomocná data V. PAF'!D111</f>
        <v>0</v>
      </c>
      <c r="D174" s="146">
        <f>D37*'Pomocná data V. PAF'!E111</f>
        <v>2420.098765</v>
      </c>
      <c r="E174" s="146">
        <f>E37*'Pomocná data V. PAF'!F111</f>
        <v>7202.267971</v>
      </c>
      <c r="F174" s="146">
        <f>F37*'Pomocná data V. PAF'!G111</f>
        <v>0</v>
      </c>
      <c r="G174" s="146">
        <f>G37*'Pomocná data V. PAF'!H111</f>
        <v>62.4020507</v>
      </c>
      <c r="H174" s="146">
        <f>H37*'Pomocná data V. PAF'!I111</f>
        <v>88.72580994</v>
      </c>
      <c r="I174" s="146">
        <f>I37*'Pomocná data V. PAF'!J111</f>
        <v>64.5</v>
      </c>
      <c r="J174" s="146">
        <f>J37*'Pomocná data V. PAF'!K111</f>
        <v>51.11008468</v>
      </c>
      <c r="K174" s="146">
        <f>K37*'Pomocná data V. PAF'!L111</f>
        <v>22.52224254</v>
      </c>
      <c r="L174" s="146">
        <f>L37*'Pomocná data V. PAF'!M111</f>
        <v>416.9797373</v>
      </c>
      <c r="M174" s="146">
        <f>M37*'Pomocná data V. PAF'!N111</f>
        <v>0</v>
      </c>
      <c r="N174" s="146">
        <f>N37*'Pomocná data V. PAF'!O111</f>
        <v>400.6413793</v>
      </c>
      <c r="O174" s="146">
        <f>O37*'Pomocná data V. PAF'!P111</f>
        <v>0</v>
      </c>
      <c r="P174" s="146">
        <f>P37*'Pomocná data V. PAF'!Q111</f>
        <v>1060.108133</v>
      </c>
      <c r="Q174" s="146">
        <f>Q37*'Pomocná data V. PAF'!R111</f>
        <v>771.4800996</v>
      </c>
      <c r="R174" s="146">
        <f>R37*'Pomocná data V. PAF'!S111</f>
        <v>0</v>
      </c>
      <c r="S174" s="146">
        <f>S37*'Pomocná data V. PAF'!T111</f>
        <v>101.8705541</v>
      </c>
      <c r="T174" s="146">
        <f>T37*'Pomocná data V. PAF'!U111</f>
        <v>1370.893315</v>
      </c>
      <c r="U174" s="146">
        <f>U37*'Pomocná data V. PAF'!V111</f>
        <v>664.6783285</v>
      </c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198"/>
    </row>
    <row r="175" ht="15.75" customHeight="1">
      <c r="A175" s="381" t="s">
        <v>459</v>
      </c>
      <c r="B175" s="146">
        <f>SUM(B38:B42)*'Pomocná data V. PAF'!C112</f>
        <v>22.67957709</v>
      </c>
      <c r="C175" s="146">
        <f>SUM(C38:C42)*'Pomocná data V. PAF'!D112</f>
        <v>5.206651743</v>
      </c>
      <c r="D175" s="146">
        <f>SUM(D38:D42)*'Pomocná data V. PAF'!E112</f>
        <v>3384.610745</v>
      </c>
      <c r="E175" s="146">
        <f>SUM(E38:E42)*'Pomocná data V. PAF'!F112</f>
        <v>10728.71224</v>
      </c>
      <c r="F175" s="146">
        <f>SUM(F38:F42)*'Pomocná data V. PAF'!G112</f>
        <v>0</v>
      </c>
      <c r="G175" s="146">
        <f>SUM(G38:G42)*'Pomocná data V. PAF'!H112</f>
        <v>51.92012835</v>
      </c>
      <c r="H175" s="146">
        <f>SUM(H38:H42)*'Pomocná data V. PAF'!I112</f>
        <v>74.58396424</v>
      </c>
      <c r="I175" s="146">
        <f>SUM(I38:I42)*'Pomocná data V. PAF'!J112</f>
        <v>0</v>
      </c>
      <c r="J175" s="146">
        <f>SUM(J38:J42)*'Pomocná data V. PAF'!K112</f>
        <v>74.68206915</v>
      </c>
      <c r="K175" s="146">
        <f>SUM(K38:K42)*'Pomocná data V. PAF'!L112</f>
        <v>0</v>
      </c>
      <c r="L175" s="146">
        <f>SUM(L38:L42)*'Pomocná data V. PAF'!M112</f>
        <v>520.6233025</v>
      </c>
      <c r="M175" s="146">
        <f>SUM(M38:M42)*'Pomocná data V. PAF'!N112</f>
        <v>0</v>
      </c>
      <c r="N175" s="146">
        <f>SUM(N38:N42)*'Pomocná data V. PAF'!O112</f>
        <v>338.1770976</v>
      </c>
      <c r="O175" s="146">
        <f>SUM(O38:O42)*'Pomocná data V. PAF'!P112</f>
        <v>0</v>
      </c>
      <c r="P175" s="146">
        <f>SUM(P38:P42)*'Pomocná data V. PAF'!Q112</f>
        <v>799.693293</v>
      </c>
      <c r="Q175" s="146">
        <f>SUM(Q38:Q42)*'Pomocná data V. PAF'!R112</f>
        <v>847.7461078</v>
      </c>
      <c r="R175" s="146">
        <f>SUM(R38:R42)*'Pomocná data V. PAF'!S112</f>
        <v>0</v>
      </c>
      <c r="S175" s="146">
        <f>SUM(S38:S42)*'Pomocná data V. PAF'!T112</f>
        <v>137.3951694</v>
      </c>
      <c r="T175" s="146">
        <f>SUM(T38:T42)*'Pomocná data V. PAF'!U112</f>
        <v>2120.61746</v>
      </c>
      <c r="U175" s="146">
        <f>SUM(U38:U42)*'Pomocná data V. PAF'!V112</f>
        <v>968.404619</v>
      </c>
      <c r="V175" s="198"/>
      <c r="W175" s="198"/>
      <c r="X175" s="198"/>
      <c r="Y175" s="198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198"/>
    </row>
    <row r="176" ht="15.75" customHeight="1">
      <c r="A176" s="13" t="s">
        <v>68</v>
      </c>
      <c r="B176" s="505">
        <f t="shared" ref="B176:U176" si="123">SUM(B163:B175)</f>
        <v>127.1371296</v>
      </c>
      <c r="C176" s="505">
        <f t="shared" si="123"/>
        <v>5.206651743</v>
      </c>
      <c r="D176" s="505">
        <f t="shared" si="123"/>
        <v>11124.15426</v>
      </c>
      <c r="E176" s="505">
        <f t="shared" si="123"/>
        <v>42827.04553</v>
      </c>
      <c r="F176" s="505">
        <f t="shared" si="123"/>
        <v>0</v>
      </c>
      <c r="G176" s="505">
        <f t="shared" si="123"/>
        <v>468.334132</v>
      </c>
      <c r="H176" s="505">
        <f t="shared" si="123"/>
        <v>662.6919568</v>
      </c>
      <c r="I176" s="505">
        <f t="shared" si="123"/>
        <v>876.8</v>
      </c>
      <c r="J176" s="505">
        <f t="shared" si="123"/>
        <v>283.7949682</v>
      </c>
      <c r="K176" s="505">
        <f t="shared" si="123"/>
        <v>22.52224254</v>
      </c>
      <c r="L176" s="505">
        <f t="shared" si="123"/>
        <v>2704.556534</v>
      </c>
      <c r="M176" s="505">
        <f t="shared" si="123"/>
        <v>0</v>
      </c>
      <c r="N176" s="505">
        <f t="shared" si="123"/>
        <v>2406.034765</v>
      </c>
      <c r="O176" s="505">
        <f t="shared" si="123"/>
        <v>0</v>
      </c>
      <c r="P176" s="505">
        <f t="shared" si="123"/>
        <v>6324.646208</v>
      </c>
      <c r="Q176" s="505">
        <f t="shared" si="123"/>
        <v>4148.330411</v>
      </c>
      <c r="R176" s="505">
        <f t="shared" si="123"/>
        <v>0</v>
      </c>
      <c r="S176" s="505">
        <f t="shared" si="123"/>
        <v>788.7363866</v>
      </c>
      <c r="T176" s="505">
        <f t="shared" si="123"/>
        <v>8295.562599</v>
      </c>
      <c r="U176" s="505">
        <f t="shared" si="123"/>
        <v>3603.841943</v>
      </c>
      <c r="V176" s="507">
        <f>SUM(B176:U176)</f>
        <v>84669.39572</v>
      </c>
      <c r="W176" s="13" t="s">
        <v>612</v>
      </c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</row>
    <row r="177" ht="15.75" customHeight="1">
      <c r="A177" s="198"/>
      <c r="B177" s="198"/>
      <c r="C177" s="198"/>
      <c r="D177" s="198"/>
      <c r="E177" s="198"/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198"/>
    </row>
    <row r="178" ht="15.75" customHeight="1">
      <c r="A178" s="499" t="s">
        <v>604</v>
      </c>
      <c r="B178" s="289"/>
      <c r="C178" s="289"/>
      <c r="D178" s="289"/>
      <c r="E178" s="289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</row>
    <row r="179" ht="15.75" customHeight="1">
      <c r="A179" s="210" t="s">
        <v>468</v>
      </c>
      <c r="B179" s="500" t="s">
        <v>288</v>
      </c>
      <c r="C179" s="500" t="s">
        <v>405</v>
      </c>
      <c r="D179" s="500" t="s">
        <v>469</v>
      </c>
      <c r="E179" s="500" t="s">
        <v>294</v>
      </c>
      <c r="F179" s="500" t="s">
        <v>296</v>
      </c>
      <c r="G179" s="500" t="s">
        <v>298</v>
      </c>
      <c r="H179" s="500" t="s">
        <v>300</v>
      </c>
      <c r="I179" s="500" t="s">
        <v>89</v>
      </c>
      <c r="J179" s="500" t="s">
        <v>303</v>
      </c>
      <c r="K179" s="500" t="s">
        <v>470</v>
      </c>
      <c r="L179" s="500" t="s">
        <v>307</v>
      </c>
      <c r="M179" s="500" t="s">
        <v>406</v>
      </c>
      <c r="N179" s="500" t="s">
        <v>311</v>
      </c>
      <c r="O179" s="500" t="s">
        <v>313</v>
      </c>
      <c r="P179" s="500" t="s">
        <v>315</v>
      </c>
      <c r="Q179" s="500" t="s">
        <v>407</v>
      </c>
      <c r="R179" s="500" t="s">
        <v>319</v>
      </c>
      <c r="S179" s="500" t="s">
        <v>321</v>
      </c>
      <c r="T179" s="500" t="s">
        <v>323</v>
      </c>
      <c r="U179" s="478" t="s">
        <v>408</v>
      </c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</row>
    <row r="180" ht="15.75" customHeight="1">
      <c r="A180" s="380" t="s">
        <v>447</v>
      </c>
      <c r="B180" s="146">
        <f>B47*'Pomocná data V. PAF'!C100</f>
        <v>0</v>
      </c>
      <c r="C180" s="146">
        <f>C47*'Pomocná data V. PAF'!D100</f>
        <v>0</v>
      </c>
      <c r="D180" s="146">
        <f>D47*'Pomocná data V. PAF'!E100</f>
        <v>0</v>
      </c>
      <c r="E180" s="146">
        <f>E47*'Pomocná data V. PAF'!F100</f>
        <v>0</v>
      </c>
      <c r="F180" s="146">
        <f>F47*'Pomocná data V. PAF'!G100</f>
        <v>0</v>
      </c>
      <c r="G180" s="146">
        <f>G47*'Pomocná data V. PAF'!H100</f>
        <v>0</v>
      </c>
      <c r="H180" s="146">
        <f>H47*'Pomocná data V. PAF'!I100</f>
        <v>0</v>
      </c>
      <c r="I180" s="146">
        <f>I47*'Pomocná data V. PAF'!J100</f>
        <v>0</v>
      </c>
      <c r="J180" s="146">
        <f>J47*'Pomocná data V. PAF'!K100</f>
        <v>0</v>
      </c>
      <c r="K180" s="146">
        <f>K47*'Pomocná data V. PAF'!L100</f>
        <v>0</v>
      </c>
      <c r="L180" s="146">
        <f>L47*'Pomocná data V. PAF'!M100</f>
        <v>0</v>
      </c>
      <c r="M180" s="146">
        <f>M47*'Pomocná data V. PAF'!N100</f>
        <v>0</v>
      </c>
      <c r="N180" s="146">
        <f>N47*'Pomocná data V. PAF'!O100</f>
        <v>6.054310839</v>
      </c>
      <c r="O180" s="146">
        <f>O47*'Pomocná data V. PAF'!P100</f>
        <v>0</v>
      </c>
      <c r="P180" s="146">
        <f>P47*'Pomocná data V. PAF'!Q100</f>
        <v>0</v>
      </c>
      <c r="Q180" s="146">
        <f>Q47*'Pomocná data V. PAF'!R100</f>
        <v>0</v>
      </c>
      <c r="R180" s="146">
        <f>R47*'Pomocná data V. PAF'!S100</f>
        <v>0</v>
      </c>
      <c r="S180" s="146">
        <f>S47*'Pomocná data V. PAF'!T100</f>
        <v>0</v>
      </c>
      <c r="T180" s="146">
        <f>T47*'Pomocná data V. PAF'!U100</f>
        <v>8.964368761</v>
      </c>
      <c r="U180" s="146">
        <f>U47*'Pomocná data V. PAF'!V100</f>
        <v>0</v>
      </c>
      <c r="V180" s="146">
        <f t="shared" ref="V180:V190" si="124">SUM(B180:U180)</f>
        <v>15.0186796</v>
      </c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</row>
    <row r="181" ht="15.75" customHeight="1">
      <c r="A181" s="380" t="s">
        <v>448</v>
      </c>
      <c r="B181" s="146">
        <f>B48*'Pomocná data V. PAF'!C101</f>
        <v>0</v>
      </c>
      <c r="C181" s="146">
        <f>C48*'Pomocná data V. PAF'!D101</f>
        <v>0</v>
      </c>
      <c r="D181" s="146">
        <f>D48*'Pomocná data V. PAF'!E101</f>
        <v>0</v>
      </c>
      <c r="E181" s="146">
        <f>E48*'Pomocná data V. PAF'!F101</f>
        <v>0</v>
      </c>
      <c r="F181" s="146">
        <f>F48*'Pomocná data V. PAF'!G101</f>
        <v>0</v>
      </c>
      <c r="G181" s="146">
        <f>G48*'Pomocná data V. PAF'!H101</f>
        <v>4.151777434</v>
      </c>
      <c r="H181" s="146">
        <f>H48*'Pomocná data V. PAF'!I101</f>
        <v>6.123556231</v>
      </c>
      <c r="I181" s="146">
        <f>I48*'Pomocná data V. PAF'!J101</f>
        <v>0</v>
      </c>
      <c r="J181" s="146">
        <f>J48*'Pomocná data V. PAF'!K101</f>
        <v>8.030493274</v>
      </c>
      <c r="K181" s="146">
        <f>K48*'Pomocná data V. PAF'!L101</f>
        <v>0</v>
      </c>
      <c r="L181" s="146">
        <f>L48*'Pomocná data V. PAF'!M101</f>
        <v>0</v>
      </c>
      <c r="M181" s="146">
        <f>M48*'Pomocná data V. PAF'!N101</f>
        <v>0</v>
      </c>
      <c r="N181" s="146">
        <f>N48*'Pomocná data V. PAF'!O101</f>
        <v>0</v>
      </c>
      <c r="O181" s="146">
        <f>O48*'Pomocná data V. PAF'!P101</f>
        <v>0</v>
      </c>
      <c r="P181" s="146">
        <f>P48*'Pomocná data V. PAF'!Q101</f>
        <v>0</v>
      </c>
      <c r="Q181" s="146">
        <f>Q48*'Pomocná data V. PAF'!R101</f>
        <v>11.29474862</v>
      </c>
      <c r="R181" s="146">
        <f>R48*'Pomocná data V. PAF'!S101</f>
        <v>0</v>
      </c>
      <c r="S181" s="146">
        <f>S48*'Pomocná data V. PAF'!T101</f>
        <v>0</v>
      </c>
      <c r="T181" s="146">
        <f>T48*'Pomocná data V. PAF'!U101</f>
        <v>12.75018807</v>
      </c>
      <c r="U181" s="146">
        <f>U48*'Pomocná data V. PAF'!V101</f>
        <v>0</v>
      </c>
      <c r="V181" s="146">
        <f t="shared" si="124"/>
        <v>42.35076363</v>
      </c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</row>
    <row r="182" ht="15.75" customHeight="1">
      <c r="A182" s="380" t="s">
        <v>449</v>
      </c>
      <c r="B182" s="146">
        <f>B49*'Pomocná data V. PAF'!C102</f>
        <v>0</v>
      </c>
      <c r="C182" s="146">
        <f>C49*'Pomocná data V. PAF'!D102</f>
        <v>0</v>
      </c>
      <c r="D182" s="146">
        <f>D49*'Pomocná data V. PAF'!E102</f>
        <v>48.51292763</v>
      </c>
      <c r="E182" s="146">
        <f>E49*'Pomocná data V. PAF'!F102</f>
        <v>18.47419646</v>
      </c>
      <c r="F182" s="146">
        <f>F49*'Pomocná data V. PAF'!G102</f>
        <v>0</v>
      </c>
      <c r="G182" s="146">
        <f>G49*'Pomocná data V. PAF'!H102</f>
        <v>5.610347965</v>
      </c>
      <c r="H182" s="146">
        <f>H49*'Pomocná data V. PAF'!I102</f>
        <v>8.200727662</v>
      </c>
      <c r="I182" s="146">
        <f>I49*'Pomocná data V. PAF'!J102</f>
        <v>0</v>
      </c>
      <c r="J182" s="146">
        <f>J49*'Pomocná data V. PAF'!K102</f>
        <v>0</v>
      </c>
      <c r="K182" s="146">
        <f>K49*'Pomocná data V. PAF'!L102</f>
        <v>0</v>
      </c>
      <c r="L182" s="146">
        <f>L49*'Pomocná data V. PAF'!M102</f>
        <v>32.18245477</v>
      </c>
      <c r="M182" s="146">
        <f>M49*'Pomocná data V. PAF'!N102</f>
        <v>0</v>
      </c>
      <c r="N182" s="146">
        <f>N49*'Pomocná data V. PAF'!O102</f>
        <v>0</v>
      </c>
      <c r="O182" s="146">
        <f>O49*'Pomocná data V. PAF'!P102</f>
        <v>0</v>
      </c>
      <c r="P182" s="146">
        <f>P49*'Pomocná data V. PAF'!Q102</f>
        <v>0</v>
      </c>
      <c r="Q182" s="146">
        <f>Q49*'Pomocná data V. PAF'!R102</f>
        <v>14.77891341</v>
      </c>
      <c r="R182" s="146">
        <f>R49*'Pomocná data V. PAF'!S102</f>
        <v>0</v>
      </c>
      <c r="S182" s="146">
        <f>S49*'Pomocná data V. PAF'!T102</f>
        <v>0</v>
      </c>
      <c r="T182" s="146">
        <f>T49*'Pomocná data V. PAF'!U102</f>
        <v>16.57625548</v>
      </c>
      <c r="U182" s="146">
        <f>U49*'Pomocná data V. PAF'!V102</f>
        <v>0</v>
      </c>
      <c r="V182" s="146">
        <f t="shared" si="124"/>
        <v>144.3358234</v>
      </c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</row>
    <row r="183" ht="15.75" customHeight="1">
      <c r="A183" s="380" t="s">
        <v>450</v>
      </c>
      <c r="B183" s="146">
        <f>B50*'Pomocná data V. PAF'!C103</f>
        <v>0</v>
      </c>
      <c r="C183" s="146">
        <f>C50*'Pomocná data V. PAF'!D103</f>
        <v>0</v>
      </c>
      <c r="D183" s="146">
        <f>D50*'Pomocná data V. PAF'!E103</f>
        <v>49.76616948</v>
      </c>
      <c r="E183" s="146">
        <f>E50*'Pomocná data V. PAF'!F103</f>
        <v>35.05270133</v>
      </c>
      <c r="F183" s="146">
        <f>F50*'Pomocná data V. PAF'!G103</f>
        <v>0</v>
      </c>
      <c r="G183" s="146">
        <f>G50*'Pomocná data V. PAF'!H103</f>
        <v>6.70203249</v>
      </c>
      <c r="H183" s="146">
        <f>H50*'Pomocná data V. PAF'!I103</f>
        <v>9.700114519</v>
      </c>
      <c r="I183" s="146">
        <f>I50*'Pomocná data V. PAF'!J103</f>
        <v>92.1</v>
      </c>
      <c r="J183" s="146">
        <f>J50*'Pomocná data V. PAF'!K103</f>
        <v>0</v>
      </c>
      <c r="K183" s="146">
        <f>K50*'Pomocná data V. PAF'!L103</f>
        <v>0</v>
      </c>
      <c r="L183" s="146">
        <f>L50*'Pomocná data V. PAF'!M103</f>
        <v>0</v>
      </c>
      <c r="M183" s="146">
        <f>M50*'Pomocná data V. PAF'!N103</f>
        <v>0</v>
      </c>
      <c r="N183" s="146">
        <f>N50*'Pomocná data V. PAF'!O103</f>
        <v>0</v>
      </c>
      <c r="O183" s="146">
        <f>O50*'Pomocná data V. PAF'!P103</f>
        <v>0</v>
      </c>
      <c r="P183" s="146">
        <f>P50*'Pomocná data V. PAF'!Q103</f>
        <v>0</v>
      </c>
      <c r="Q183" s="146">
        <f>Q50*'Pomocná data V. PAF'!R103</f>
        <v>17.05508305</v>
      </c>
      <c r="R183" s="146">
        <f>R50*'Pomocná data V. PAF'!S103</f>
        <v>0</v>
      </c>
      <c r="S183" s="146">
        <f>S50*'Pomocná data V. PAF'!T103</f>
        <v>0</v>
      </c>
      <c r="T183" s="146">
        <f>T50*'Pomocná data V. PAF'!U103</f>
        <v>19.00273143</v>
      </c>
      <c r="U183" s="146">
        <f>U50*'Pomocná data V. PAF'!V103</f>
        <v>15.5248466</v>
      </c>
      <c r="V183" s="146">
        <f t="shared" si="124"/>
        <v>244.9036789</v>
      </c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</row>
    <row r="184" ht="15.75" customHeight="1">
      <c r="A184" s="380" t="s">
        <v>451</v>
      </c>
      <c r="B184" s="146">
        <f>B51*'Pomocná data V. PAF'!C104</f>
        <v>11.76766092</v>
      </c>
      <c r="C184" s="146">
        <f>C51*'Pomocná data V. PAF'!D104</f>
        <v>0</v>
      </c>
      <c r="D184" s="146">
        <f>D51*'Pomocná data V. PAF'!E104</f>
        <v>47.88793022</v>
      </c>
      <c r="E184" s="146">
        <f>E51*'Pomocná data V. PAF'!F104</f>
        <v>202.7059575</v>
      </c>
      <c r="F184" s="146">
        <f>F51*'Pomocná data V. PAF'!G104</f>
        <v>0</v>
      </c>
      <c r="G184" s="146">
        <f>G51*'Pomocná data V. PAF'!H104</f>
        <v>12.6758004</v>
      </c>
      <c r="H184" s="146">
        <f>H51*'Pomocná data V. PAF'!I104</f>
        <v>18.11998351</v>
      </c>
      <c r="I184" s="146">
        <f>I51*'Pomocná data V. PAF'!J104</f>
        <v>77.1</v>
      </c>
      <c r="J184" s="146">
        <f>J51*'Pomocná data V. PAF'!K104</f>
        <v>13.84520872</v>
      </c>
      <c r="K184" s="146">
        <f>K51*'Pomocná data V. PAF'!L104</f>
        <v>0</v>
      </c>
      <c r="L184" s="146">
        <f>L51*'Pomocná data V. PAF'!M104</f>
        <v>35.43423402</v>
      </c>
      <c r="M184" s="146">
        <f>M51*'Pomocná data V. PAF'!N104</f>
        <v>0</v>
      </c>
      <c r="N184" s="146">
        <f>N51*'Pomocná data V. PAF'!O104</f>
        <v>14.89248023</v>
      </c>
      <c r="O184" s="146">
        <f>O51*'Pomocná data V. PAF'!P104</f>
        <v>0</v>
      </c>
      <c r="P184" s="146">
        <f>P51*'Pomocná data V. PAF'!Q104</f>
        <v>25.6766881</v>
      </c>
      <c r="Q184" s="146">
        <f>Q51*'Pomocná data V. PAF'!R104</f>
        <v>43.29337241</v>
      </c>
      <c r="R184" s="146">
        <f>R51*'Pomocná data V. PAF'!S104</f>
        <v>0</v>
      </c>
      <c r="S184" s="146">
        <f>S51*'Pomocná data V. PAF'!T104</f>
        <v>12.51631764</v>
      </c>
      <c r="T184" s="146">
        <f>T51*'Pomocná data V. PAF'!U104</f>
        <v>68.37891554</v>
      </c>
      <c r="U184" s="146">
        <f>U51*'Pomocná data V. PAF'!V104</f>
        <v>16.99335163</v>
      </c>
      <c r="V184" s="146">
        <f t="shared" si="124"/>
        <v>601.2879008</v>
      </c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</row>
    <row r="185" ht="15.75" customHeight="1">
      <c r="A185" s="380" t="s">
        <v>452</v>
      </c>
      <c r="B185" s="146">
        <f>B52*'Pomocná data V. PAF'!C105</f>
        <v>0</v>
      </c>
      <c r="C185" s="146">
        <f>C52*'Pomocná data V. PAF'!D105</f>
        <v>0</v>
      </c>
      <c r="D185" s="146">
        <f>D52*'Pomocná data V. PAF'!E105</f>
        <v>68.45425995</v>
      </c>
      <c r="E185" s="146">
        <f>E52*'Pomocná data V. PAF'!F105</f>
        <v>545.8696133</v>
      </c>
      <c r="F185" s="146">
        <f>F52*'Pomocná data V. PAF'!G105</f>
        <v>0</v>
      </c>
      <c r="G185" s="146">
        <f>G52*'Pomocná data V. PAF'!H105</f>
        <v>26.26687898</v>
      </c>
      <c r="H185" s="146">
        <f>H52*'Pomocná data V. PAF'!I105</f>
        <v>37.25168953</v>
      </c>
      <c r="I185" s="146">
        <f>I52*'Pomocná data V. PAF'!J105</f>
        <v>0</v>
      </c>
      <c r="J185" s="146">
        <f>J52*'Pomocná data V. PAF'!K105</f>
        <v>0</v>
      </c>
      <c r="K185" s="146">
        <f>K52*'Pomocná data V. PAF'!L105</f>
        <v>0</v>
      </c>
      <c r="L185" s="146">
        <f>L52*'Pomocná data V. PAF'!M105</f>
        <v>62.51074761</v>
      </c>
      <c r="M185" s="146">
        <f>M52*'Pomocná data V. PAF'!N105</f>
        <v>0</v>
      </c>
      <c r="N185" s="146">
        <f>N52*'Pomocná data V. PAF'!O105</f>
        <v>36.75347209</v>
      </c>
      <c r="O185" s="146">
        <f>O52*'Pomocná data V. PAF'!P105</f>
        <v>0</v>
      </c>
      <c r="P185" s="146">
        <f>P52*'Pomocná data V. PAF'!Q105</f>
        <v>92.6584407</v>
      </c>
      <c r="Q185" s="146">
        <f>Q52*'Pomocná data V. PAF'!R105</f>
        <v>62.41454323</v>
      </c>
      <c r="R185" s="146">
        <f>R52*'Pomocná data V. PAF'!S105</f>
        <v>0</v>
      </c>
      <c r="S185" s="146">
        <f>S52*'Pomocná data V. PAF'!T105</f>
        <v>11.64979351</v>
      </c>
      <c r="T185" s="146">
        <f>T52*'Pomocná data V. PAF'!U105</f>
        <v>87.41863194</v>
      </c>
      <c r="U185" s="146">
        <f>U52*'Pomocná data V. PAF'!V105</f>
        <v>26.08016257</v>
      </c>
      <c r="V185" s="146">
        <f t="shared" si="124"/>
        <v>1057.328233</v>
      </c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</row>
    <row r="186" ht="15.75" customHeight="1">
      <c r="A186" s="380" t="s">
        <v>453</v>
      </c>
      <c r="B186" s="146">
        <f>B53*'Pomocná data V. PAF'!C106</f>
        <v>0</v>
      </c>
      <c r="C186" s="146">
        <f>C53*'Pomocná data V. PAF'!D106</f>
        <v>0</v>
      </c>
      <c r="D186" s="146">
        <f>D53*'Pomocná data V. PAF'!E106</f>
        <v>98.10011006</v>
      </c>
      <c r="E186" s="146">
        <f>E53*'Pomocná data V. PAF'!F106</f>
        <v>770.9244508</v>
      </c>
      <c r="F186" s="146">
        <f>F53*'Pomocná data V. PAF'!G106</f>
        <v>0</v>
      </c>
      <c r="G186" s="146">
        <f>G53*'Pomocná data V. PAF'!H106</f>
        <v>20.66794026</v>
      </c>
      <c r="H186" s="146">
        <f>H53*'Pomocná data V. PAF'!I106</f>
        <v>29.08733909</v>
      </c>
      <c r="I186" s="146">
        <f>I53*'Pomocná data V. PAF'!J106</f>
        <v>47.1</v>
      </c>
      <c r="J186" s="146">
        <f>J53*'Pomocná data V. PAF'!K106</f>
        <v>10.95819521</v>
      </c>
      <c r="K186" s="146">
        <f>K53*'Pomocná data V. PAF'!L106</f>
        <v>0</v>
      </c>
      <c r="L186" s="146">
        <f>L53*'Pomocná data V. PAF'!M106</f>
        <v>110.3926842</v>
      </c>
      <c r="M186" s="146">
        <f>M53*'Pomocná data V. PAF'!N106</f>
        <v>0</v>
      </c>
      <c r="N186" s="146">
        <f>N53*'Pomocná data V. PAF'!O106</f>
        <v>62.55830283</v>
      </c>
      <c r="O186" s="146">
        <f>O53*'Pomocná data V. PAF'!P106</f>
        <v>0</v>
      </c>
      <c r="P186" s="146">
        <f>P53*'Pomocná data V. PAF'!Q106</f>
        <v>154.062181</v>
      </c>
      <c r="Q186" s="146">
        <f>Q53*'Pomocná data V. PAF'!R106</f>
        <v>86.21475785</v>
      </c>
      <c r="R186" s="146">
        <f>R53*'Pomocná data V. PAF'!S106</f>
        <v>0</v>
      </c>
      <c r="S186" s="146">
        <f>S53*'Pomocná data V. PAF'!T106</f>
        <v>16.61385212</v>
      </c>
      <c r="T186" s="146">
        <f>T53*'Pomocná data V. PAF'!U106</f>
        <v>173.2001048</v>
      </c>
      <c r="U186" s="146">
        <f>U53*'Pomocná data V. PAF'!V106</f>
        <v>26.50975592</v>
      </c>
      <c r="V186" s="146">
        <f t="shared" si="124"/>
        <v>1606.389674</v>
      </c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</row>
    <row r="187" ht="15.75" customHeight="1">
      <c r="A187" s="380" t="s">
        <v>454</v>
      </c>
      <c r="B187" s="146">
        <f>B54*'Pomocná data V. PAF'!C107</f>
        <v>7.161472305</v>
      </c>
      <c r="C187" s="146">
        <f>C54*'Pomocná data V. PAF'!D107</f>
        <v>0</v>
      </c>
      <c r="D187" s="146">
        <f>D54*'Pomocná data V. PAF'!E107</f>
        <v>100.606158</v>
      </c>
      <c r="E187" s="146">
        <f>E54*'Pomocná data V. PAF'!F107</f>
        <v>1188.932775</v>
      </c>
      <c r="F187" s="146">
        <f>F54*'Pomocná data V. PAF'!G107</f>
        <v>0</v>
      </c>
      <c r="G187" s="146">
        <f>G54*'Pomocná data V. PAF'!H107</f>
        <v>15.89585178</v>
      </c>
      <c r="H187" s="146">
        <f>H54*'Pomocná data V. PAF'!I107</f>
        <v>22.19513046</v>
      </c>
      <c r="I187" s="146">
        <f>I54*'Pomocná data V. PAF'!J107</f>
        <v>32.1</v>
      </c>
      <c r="J187" s="146">
        <f>J54*'Pomocná data V. PAF'!K107</f>
        <v>8.303890404</v>
      </c>
      <c r="K187" s="146">
        <f>K54*'Pomocná data V. PAF'!L107</f>
        <v>0</v>
      </c>
      <c r="L187" s="146">
        <f>L54*'Pomocná data V. PAF'!M107</f>
        <v>80.05561909</v>
      </c>
      <c r="M187" s="146">
        <f>M54*'Pomocná data V. PAF'!N107</f>
        <v>0</v>
      </c>
      <c r="N187" s="146">
        <f>N54*'Pomocná data V. PAF'!O107</f>
        <v>100.4964011</v>
      </c>
      <c r="O187" s="146">
        <f>O54*'Pomocná data V. PAF'!P107</f>
        <v>0</v>
      </c>
      <c r="P187" s="146">
        <f>P54*'Pomocná data V. PAF'!Q107</f>
        <v>218.1564659</v>
      </c>
      <c r="Q187" s="146">
        <f>Q54*'Pomocná data V. PAF'!R107</f>
        <v>86.19881018</v>
      </c>
      <c r="R187" s="146">
        <f>R54*'Pomocná data V. PAF'!S107</f>
        <v>0</v>
      </c>
      <c r="S187" s="146">
        <f>S54*'Pomocná data V. PAF'!T107</f>
        <v>25.2566512</v>
      </c>
      <c r="T187" s="146">
        <f>T54*'Pomocná data V. PAF'!U107</f>
        <v>231.2277551</v>
      </c>
      <c r="U187" s="146">
        <f>U54*'Pomocná data V. PAF'!V107</f>
        <v>106.3825193</v>
      </c>
      <c r="V187" s="146">
        <f t="shared" si="124"/>
        <v>2222.9695</v>
      </c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</row>
    <row r="188" ht="15.75" customHeight="1">
      <c r="A188" s="380" t="s">
        <v>455</v>
      </c>
      <c r="B188" s="146">
        <f>B55*'Pomocná data V. PAF'!C108</f>
        <v>3.855633696</v>
      </c>
      <c r="C188" s="146">
        <f>C55*'Pomocná data V. PAF'!D108</f>
        <v>0</v>
      </c>
      <c r="D188" s="146">
        <f>D55*'Pomocná data V. PAF'!E108</f>
        <v>186.2166884</v>
      </c>
      <c r="E188" s="146">
        <f>E55*'Pomocná data V. PAF'!F108</f>
        <v>1021.732587</v>
      </c>
      <c r="F188" s="146">
        <f>F55*'Pomocná data V. PAF'!G108</f>
        <v>0</v>
      </c>
      <c r="G188" s="146">
        <f>G55*'Pomocná data V. PAF'!H108</f>
        <v>11.13691115</v>
      </c>
      <c r="H188" s="146">
        <f>H55*'Pomocná data V. PAF'!I108</f>
        <v>15.53773907</v>
      </c>
      <c r="I188" s="146">
        <f>I55*'Pomocná data V. PAF'!J108</f>
        <v>17.1</v>
      </c>
      <c r="J188" s="146">
        <f>J55*'Pomocná data V. PAF'!K108</f>
        <v>0</v>
      </c>
      <c r="K188" s="146">
        <f>K55*'Pomocná data V. PAF'!L108</f>
        <v>0</v>
      </c>
      <c r="L188" s="146">
        <f>L55*'Pomocná data V. PAF'!M108</f>
        <v>69.28949339</v>
      </c>
      <c r="M188" s="146">
        <f>M55*'Pomocná data V. PAF'!N108</f>
        <v>0</v>
      </c>
      <c r="N188" s="146">
        <f>N55*'Pomocná data V. PAF'!O108</f>
        <v>77.91924762</v>
      </c>
      <c r="O188" s="146">
        <f>O55*'Pomocná data V. PAF'!P108</f>
        <v>0</v>
      </c>
      <c r="P188" s="146">
        <f>P55*'Pomocná data V. PAF'!Q108</f>
        <v>175.6482373</v>
      </c>
      <c r="Q188" s="146">
        <f>Q55*'Pomocná data V. PAF'!R108</f>
        <v>81.0891778</v>
      </c>
      <c r="R188" s="146">
        <f>R55*'Pomocná data V. PAF'!S108</f>
        <v>0</v>
      </c>
      <c r="S188" s="146">
        <f>S55*'Pomocná data V. PAF'!T108</f>
        <v>19.03356622</v>
      </c>
      <c r="T188" s="146">
        <f>T55*'Pomocná data V. PAF'!U108</f>
        <v>189.5274305</v>
      </c>
      <c r="U188" s="146">
        <f>U55*'Pomocná data V. PAF'!V108</f>
        <v>82.23376941</v>
      </c>
      <c r="V188" s="146">
        <f t="shared" si="124"/>
        <v>1950.320481</v>
      </c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</row>
    <row r="189" ht="15.75" customHeight="1">
      <c r="A189" s="380" t="s">
        <v>456</v>
      </c>
      <c r="B189" s="146">
        <f>B56*'Pomocná data V. PAF'!C109</f>
        <v>0.473498875</v>
      </c>
      <c r="C189" s="146">
        <f>C56*'Pomocná data V. PAF'!D109</f>
        <v>0</v>
      </c>
      <c r="D189" s="146">
        <f>D56*'Pomocná data V. PAF'!E109</f>
        <v>47.770207</v>
      </c>
      <c r="E189" s="146">
        <f>E56*'Pomocná data V. PAF'!F109</f>
        <v>252.3522644</v>
      </c>
      <c r="F189" s="146">
        <f>F56*'Pomocná data V. PAF'!G109</f>
        <v>0</v>
      </c>
      <c r="G189" s="146">
        <f>G56*'Pomocná data V. PAF'!H109</f>
        <v>1.788518795</v>
      </c>
      <c r="H189" s="146">
        <f>H56*'Pomocná data V. PAF'!I109</f>
        <v>2.495264439</v>
      </c>
      <c r="I189" s="146">
        <f>I56*'Pomocná data V. PAF'!J109</f>
        <v>6.3</v>
      </c>
      <c r="J189" s="146">
        <f>J56*'Pomocná data V. PAF'!K109</f>
        <v>1.097529843</v>
      </c>
      <c r="K189" s="146">
        <f>K56*'Pomocná data V. PAF'!L109</f>
        <v>0</v>
      </c>
      <c r="L189" s="146">
        <f>L56*'Pomocná data V. PAF'!M109</f>
        <v>13.37165662</v>
      </c>
      <c r="M189" s="146">
        <f>M56*'Pomocná data V. PAF'!N109</f>
        <v>0</v>
      </c>
      <c r="N189" s="146">
        <f>N56*'Pomocná data V. PAF'!O109</f>
        <v>14.06061611</v>
      </c>
      <c r="O189" s="146">
        <f>O56*'Pomocná data V. PAF'!P109</f>
        <v>0</v>
      </c>
      <c r="P189" s="146">
        <f>P56*'Pomocná data V. PAF'!Q109</f>
        <v>46.58050127</v>
      </c>
      <c r="Q189" s="146">
        <f>Q56*'Pomocná data V. PAF'!R109</f>
        <v>21.33925731</v>
      </c>
      <c r="R189" s="146">
        <f>R56*'Pomocná data V. PAF'!S109</f>
        <v>0</v>
      </c>
      <c r="S189" s="146">
        <f>S56*'Pomocná data V. PAF'!T109</f>
        <v>5.34275543</v>
      </c>
      <c r="T189" s="146">
        <f>T56*'Pomocná data V. PAF'!U109</f>
        <v>47.58505468</v>
      </c>
      <c r="U189" s="146">
        <f>U56*'Pomocná data V. PAF'!V109</f>
        <v>19.53914506</v>
      </c>
      <c r="V189" s="146">
        <f t="shared" si="124"/>
        <v>480.0962699</v>
      </c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</row>
    <row r="190" ht="15.75" customHeight="1">
      <c r="A190" s="13" t="s">
        <v>68</v>
      </c>
      <c r="B190" s="505">
        <f t="shared" ref="B190:U190" si="125">SUM(B180:B189)</f>
        <v>23.25826579</v>
      </c>
      <c r="C190" s="505">
        <f t="shared" si="125"/>
        <v>0</v>
      </c>
      <c r="D190" s="505">
        <f t="shared" si="125"/>
        <v>647.3144508</v>
      </c>
      <c r="E190" s="505">
        <f t="shared" si="125"/>
        <v>4036.044545</v>
      </c>
      <c r="F190" s="505">
        <f t="shared" si="125"/>
        <v>0</v>
      </c>
      <c r="G190" s="505">
        <f t="shared" si="125"/>
        <v>104.8960593</v>
      </c>
      <c r="H190" s="505">
        <f t="shared" si="125"/>
        <v>148.7115445</v>
      </c>
      <c r="I190" s="505">
        <f t="shared" si="125"/>
        <v>271.8</v>
      </c>
      <c r="J190" s="505">
        <f t="shared" si="125"/>
        <v>42.23531745</v>
      </c>
      <c r="K190" s="505">
        <f t="shared" si="125"/>
        <v>0</v>
      </c>
      <c r="L190" s="505">
        <f t="shared" si="125"/>
        <v>403.2368897</v>
      </c>
      <c r="M190" s="505">
        <f t="shared" si="125"/>
        <v>0</v>
      </c>
      <c r="N190" s="505">
        <f t="shared" si="125"/>
        <v>312.7348308</v>
      </c>
      <c r="O190" s="505">
        <f t="shared" si="125"/>
        <v>0</v>
      </c>
      <c r="P190" s="505">
        <f t="shared" si="125"/>
        <v>712.7825143</v>
      </c>
      <c r="Q190" s="505">
        <f t="shared" si="125"/>
        <v>423.6786639</v>
      </c>
      <c r="R190" s="505">
        <f t="shared" si="125"/>
        <v>0</v>
      </c>
      <c r="S190" s="505">
        <f t="shared" si="125"/>
        <v>90.41293612</v>
      </c>
      <c r="T190" s="505">
        <f t="shared" si="125"/>
        <v>854.6314363</v>
      </c>
      <c r="U190" s="505">
        <f t="shared" si="125"/>
        <v>293.2635505</v>
      </c>
      <c r="V190" s="507">
        <f t="shared" si="124"/>
        <v>8365.001005</v>
      </c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</row>
    <row r="191" ht="15.75" customHeight="1">
      <c r="A191" s="198"/>
      <c r="B191" s="198"/>
      <c r="C191" s="198"/>
      <c r="D191" s="198"/>
      <c r="E191" s="198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198"/>
    </row>
    <row r="192" ht="15.75" customHeight="1">
      <c r="A192" s="376" t="s">
        <v>605</v>
      </c>
      <c r="D192" s="376"/>
      <c r="E192" s="376"/>
      <c r="F192" s="376"/>
      <c r="G192" s="376"/>
      <c r="H192" s="376"/>
      <c r="I192" s="376"/>
      <c r="J192" s="376"/>
      <c r="K192" s="376"/>
      <c r="L192" s="376"/>
      <c r="M192" s="376"/>
      <c r="N192" s="376"/>
      <c r="O192" s="376"/>
      <c r="P192" s="376"/>
      <c r="Q192" s="376"/>
      <c r="R192" s="376"/>
      <c r="S192" s="376"/>
      <c r="T192" s="376"/>
      <c r="U192" s="376"/>
      <c r="V192" s="376"/>
      <c r="W192" s="376"/>
      <c r="X192" s="376"/>
      <c r="Y192" s="376"/>
      <c r="Z192" s="376"/>
      <c r="AA192" s="376"/>
      <c r="AB192" s="376"/>
      <c r="AC192" s="376"/>
      <c r="AD192" s="376"/>
      <c r="AE192" s="376"/>
      <c r="AF192" s="376"/>
      <c r="AG192" s="376"/>
      <c r="AH192" s="376"/>
      <c r="AI192" s="376"/>
      <c r="AJ192" s="376"/>
      <c r="AK192" s="376"/>
      <c r="AL192" s="376"/>
      <c r="AM192" s="376"/>
      <c r="AN192" s="376"/>
      <c r="AO192" s="376"/>
      <c r="AP192" s="376"/>
      <c r="AQ192" s="376"/>
      <c r="AR192" s="376"/>
      <c r="AS192" s="376"/>
    </row>
    <row r="193" ht="15.75" customHeight="1">
      <c r="A193" s="262" t="s">
        <v>468</v>
      </c>
      <c r="B193" s="504" t="s">
        <v>288</v>
      </c>
      <c r="C193" s="504" t="s">
        <v>405</v>
      </c>
      <c r="D193" s="504" t="s">
        <v>469</v>
      </c>
      <c r="E193" s="504" t="s">
        <v>294</v>
      </c>
      <c r="F193" s="504" t="s">
        <v>296</v>
      </c>
      <c r="G193" s="504" t="s">
        <v>298</v>
      </c>
      <c r="H193" s="504" t="s">
        <v>300</v>
      </c>
      <c r="I193" s="504" t="s">
        <v>89</v>
      </c>
      <c r="J193" s="504" t="s">
        <v>303</v>
      </c>
      <c r="K193" s="504" t="s">
        <v>470</v>
      </c>
      <c r="L193" s="504" t="s">
        <v>307</v>
      </c>
      <c r="M193" s="504" t="s">
        <v>406</v>
      </c>
      <c r="N193" s="504" t="s">
        <v>311</v>
      </c>
      <c r="O193" s="504" t="s">
        <v>313</v>
      </c>
      <c r="P193" s="504" t="s">
        <v>315</v>
      </c>
      <c r="Q193" s="504" t="s">
        <v>407</v>
      </c>
      <c r="R193" s="504" t="s">
        <v>319</v>
      </c>
      <c r="S193" s="504" t="s">
        <v>321</v>
      </c>
      <c r="T193" s="504" t="s">
        <v>323</v>
      </c>
      <c r="U193" s="504" t="s">
        <v>408</v>
      </c>
      <c r="V193" s="198"/>
      <c r="W193" s="14"/>
      <c r="X193" s="14"/>
      <c r="Y193" s="14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198"/>
    </row>
    <row r="194" ht="15.75" customHeight="1">
      <c r="A194" s="381" t="s">
        <v>447</v>
      </c>
      <c r="B194" s="149">
        <f t="shared" ref="B194:U194" si="126">B163-B180</f>
        <v>0</v>
      </c>
      <c r="C194" s="149">
        <f t="shared" si="126"/>
        <v>0</v>
      </c>
      <c r="D194" s="149">
        <f t="shared" si="126"/>
        <v>0</v>
      </c>
      <c r="E194" s="149">
        <f t="shared" si="126"/>
        <v>0</v>
      </c>
      <c r="F194" s="149">
        <f t="shared" si="126"/>
        <v>0</v>
      </c>
      <c r="G194" s="149">
        <f t="shared" si="126"/>
        <v>0</v>
      </c>
      <c r="H194" s="149">
        <f t="shared" si="126"/>
        <v>0</v>
      </c>
      <c r="I194" s="149">
        <f t="shared" si="126"/>
        <v>0</v>
      </c>
      <c r="J194" s="149">
        <f t="shared" si="126"/>
        <v>0</v>
      </c>
      <c r="K194" s="149">
        <f t="shared" si="126"/>
        <v>0</v>
      </c>
      <c r="L194" s="149">
        <f t="shared" si="126"/>
        <v>0</v>
      </c>
      <c r="M194" s="149">
        <f t="shared" si="126"/>
        <v>0</v>
      </c>
      <c r="N194" s="149">
        <f t="shared" si="126"/>
        <v>2.079927356</v>
      </c>
      <c r="O194" s="149">
        <f t="shared" si="126"/>
        <v>0</v>
      </c>
      <c r="P194" s="149">
        <f t="shared" si="126"/>
        <v>0</v>
      </c>
      <c r="Q194" s="149">
        <f t="shared" si="126"/>
        <v>0</v>
      </c>
      <c r="R194" s="149">
        <f t="shared" si="126"/>
        <v>0</v>
      </c>
      <c r="S194" s="149">
        <f t="shared" si="126"/>
        <v>0</v>
      </c>
      <c r="T194" s="149">
        <f t="shared" si="126"/>
        <v>3.079662791</v>
      </c>
      <c r="U194" s="149">
        <f t="shared" si="126"/>
        <v>0</v>
      </c>
      <c r="V194" s="198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</row>
    <row r="195" ht="15.75" customHeight="1">
      <c r="A195" s="381" t="s">
        <v>448</v>
      </c>
      <c r="B195" s="149">
        <f t="shared" ref="B195:U195" si="127">B164-B181</f>
        <v>0</v>
      </c>
      <c r="C195" s="149">
        <f t="shared" si="127"/>
        <v>0</v>
      </c>
      <c r="D195" s="149">
        <f t="shared" si="127"/>
        <v>0</v>
      </c>
      <c r="E195" s="149">
        <f t="shared" si="127"/>
        <v>0</v>
      </c>
      <c r="F195" s="149">
        <f t="shared" si="127"/>
        <v>0</v>
      </c>
      <c r="G195" s="149">
        <f t="shared" si="127"/>
        <v>1.611746522</v>
      </c>
      <c r="H195" s="149">
        <f t="shared" si="127"/>
        <v>2.377203647</v>
      </c>
      <c r="I195" s="149">
        <f t="shared" si="127"/>
        <v>0</v>
      </c>
      <c r="J195" s="149">
        <f t="shared" si="127"/>
        <v>3.117488789</v>
      </c>
      <c r="K195" s="149">
        <f t="shared" si="127"/>
        <v>0</v>
      </c>
      <c r="L195" s="149">
        <f t="shared" si="127"/>
        <v>0</v>
      </c>
      <c r="M195" s="149">
        <f t="shared" si="127"/>
        <v>0</v>
      </c>
      <c r="N195" s="149">
        <f t="shared" si="127"/>
        <v>0</v>
      </c>
      <c r="O195" s="149">
        <f t="shared" si="127"/>
        <v>0</v>
      </c>
      <c r="P195" s="149">
        <f t="shared" si="127"/>
        <v>0</v>
      </c>
      <c r="Q195" s="149">
        <f t="shared" si="127"/>
        <v>4.384693569</v>
      </c>
      <c r="R195" s="149">
        <f t="shared" si="127"/>
        <v>0</v>
      </c>
      <c r="S195" s="149">
        <f t="shared" si="127"/>
        <v>0</v>
      </c>
      <c r="T195" s="149">
        <f t="shared" si="127"/>
        <v>4.94970446</v>
      </c>
      <c r="U195" s="149">
        <f t="shared" si="127"/>
        <v>0</v>
      </c>
      <c r="V195" s="198"/>
      <c r="W195" s="14"/>
      <c r="X195" s="14"/>
      <c r="Y195" s="14"/>
      <c r="Z195" s="198"/>
      <c r="AA195" s="198"/>
      <c r="AB195" s="198"/>
      <c r="AC195" s="198"/>
      <c r="AD195" s="198"/>
      <c r="AE195" s="198"/>
      <c r="AF195" s="198"/>
      <c r="AG195" s="198"/>
      <c r="AH195" s="198"/>
      <c r="AI195" s="198"/>
      <c r="AJ195" s="198"/>
      <c r="AK195" s="198"/>
      <c r="AL195" s="198"/>
      <c r="AM195" s="198"/>
      <c r="AN195" s="198"/>
      <c r="AO195" s="198"/>
      <c r="AP195" s="198"/>
      <c r="AQ195" s="198"/>
      <c r="AR195" s="198"/>
      <c r="AS195" s="198"/>
    </row>
    <row r="196" ht="15.75" customHeight="1">
      <c r="A196" s="381" t="s">
        <v>449</v>
      </c>
      <c r="B196" s="149">
        <f t="shared" ref="B196:U196" si="128">B165-B182</f>
        <v>0</v>
      </c>
      <c r="C196" s="149">
        <f t="shared" si="128"/>
        <v>0</v>
      </c>
      <c r="D196" s="149">
        <f t="shared" si="128"/>
        <v>21.74248857</v>
      </c>
      <c r="E196" s="149">
        <f t="shared" si="128"/>
        <v>8.279751914</v>
      </c>
      <c r="F196" s="149">
        <f t="shared" si="128"/>
        <v>0</v>
      </c>
      <c r="G196" s="149">
        <f t="shared" si="128"/>
        <v>2.514441665</v>
      </c>
      <c r="H196" s="149">
        <f t="shared" si="128"/>
        <v>3.675396151</v>
      </c>
      <c r="I196" s="149">
        <f t="shared" si="128"/>
        <v>0</v>
      </c>
      <c r="J196" s="149">
        <f t="shared" si="128"/>
        <v>0</v>
      </c>
      <c r="K196" s="149">
        <f t="shared" si="128"/>
        <v>0</v>
      </c>
      <c r="L196" s="149">
        <f t="shared" si="128"/>
        <v>14.42350914</v>
      </c>
      <c r="M196" s="149">
        <f t="shared" si="128"/>
        <v>0</v>
      </c>
      <c r="N196" s="149">
        <f t="shared" si="128"/>
        <v>0</v>
      </c>
      <c r="O196" s="149">
        <f t="shared" si="128"/>
        <v>0</v>
      </c>
      <c r="P196" s="149">
        <f t="shared" si="128"/>
        <v>0</v>
      </c>
      <c r="Q196" s="149">
        <f t="shared" si="128"/>
        <v>6.623602649</v>
      </c>
      <c r="R196" s="149">
        <f t="shared" si="128"/>
        <v>0</v>
      </c>
      <c r="S196" s="149">
        <f t="shared" si="128"/>
        <v>0</v>
      </c>
      <c r="T196" s="149">
        <f t="shared" si="128"/>
        <v>7.429134108</v>
      </c>
      <c r="U196" s="149">
        <f t="shared" si="128"/>
        <v>0</v>
      </c>
      <c r="V196" s="198"/>
      <c r="W196" s="198"/>
      <c r="X196" s="198"/>
      <c r="Y196" s="198"/>
      <c r="Z196" s="198"/>
      <c r="AA196" s="198"/>
      <c r="AB196" s="198"/>
      <c r="AC196" s="198"/>
      <c r="AD196" s="198"/>
      <c r="AE196" s="198"/>
      <c r="AF196" s="198"/>
      <c r="AG196" s="198"/>
      <c r="AH196" s="198"/>
      <c r="AI196" s="198"/>
      <c r="AJ196" s="198"/>
      <c r="AK196" s="198"/>
      <c r="AL196" s="198"/>
      <c r="AM196" s="198"/>
      <c r="AN196" s="198"/>
      <c r="AO196" s="198"/>
      <c r="AP196" s="198"/>
      <c r="AQ196" s="198"/>
      <c r="AR196" s="198"/>
      <c r="AS196" s="198"/>
    </row>
    <row r="197" ht="15.75" customHeight="1">
      <c r="A197" s="381" t="s">
        <v>450</v>
      </c>
      <c r="B197" s="149">
        <f t="shared" ref="B197:U197" si="129">B166-B183</f>
        <v>0</v>
      </c>
      <c r="C197" s="149">
        <f t="shared" si="129"/>
        <v>0</v>
      </c>
      <c r="D197" s="149">
        <f t="shared" si="129"/>
        <v>26.26097542</v>
      </c>
      <c r="E197" s="149">
        <f t="shared" si="129"/>
        <v>18.4968652</v>
      </c>
      <c r="F197" s="149">
        <f t="shared" si="129"/>
        <v>0</v>
      </c>
      <c r="G197" s="149">
        <f t="shared" si="129"/>
        <v>3.536577405</v>
      </c>
      <c r="H197" s="149">
        <f t="shared" si="129"/>
        <v>5.118627205</v>
      </c>
      <c r="I197" s="149">
        <f t="shared" si="129"/>
        <v>48.6</v>
      </c>
      <c r="J197" s="149">
        <f t="shared" si="129"/>
        <v>0</v>
      </c>
      <c r="K197" s="149">
        <f t="shared" si="129"/>
        <v>0</v>
      </c>
      <c r="L197" s="149">
        <f t="shared" si="129"/>
        <v>0</v>
      </c>
      <c r="M197" s="149">
        <f t="shared" si="129"/>
        <v>0</v>
      </c>
      <c r="N197" s="149">
        <f t="shared" si="129"/>
        <v>0</v>
      </c>
      <c r="O197" s="149">
        <f t="shared" si="129"/>
        <v>0</v>
      </c>
      <c r="P197" s="149">
        <f t="shared" si="129"/>
        <v>0</v>
      </c>
      <c r="Q197" s="149">
        <f t="shared" si="129"/>
        <v>8.999750665</v>
      </c>
      <c r="R197" s="149">
        <f t="shared" si="129"/>
        <v>0</v>
      </c>
      <c r="S197" s="149">
        <f t="shared" si="129"/>
        <v>0</v>
      </c>
      <c r="T197" s="149">
        <f t="shared" si="129"/>
        <v>10.02749997</v>
      </c>
      <c r="U197" s="149">
        <f t="shared" si="129"/>
        <v>8.19226433</v>
      </c>
      <c r="V197" s="198"/>
      <c r="W197" s="198"/>
      <c r="X197" s="198"/>
      <c r="Y197" s="198"/>
      <c r="Z197" s="198"/>
      <c r="AA197" s="198"/>
      <c r="AB197" s="198"/>
      <c r="AC197" s="198"/>
      <c r="AD197" s="198"/>
      <c r="AE197" s="198"/>
      <c r="AF197" s="198"/>
      <c r="AG197" s="198"/>
      <c r="AH197" s="198"/>
      <c r="AI197" s="198"/>
      <c r="AJ197" s="198"/>
      <c r="AK197" s="198"/>
      <c r="AL197" s="198"/>
      <c r="AM197" s="198"/>
      <c r="AN197" s="198"/>
      <c r="AO197" s="198"/>
      <c r="AP197" s="198"/>
      <c r="AQ197" s="198"/>
      <c r="AR197" s="198"/>
      <c r="AS197" s="198"/>
    </row>
    <row r="198" ht="15.75" customHeight="1">
      <c r="A198" s="381" t="s">
        <v>451</v>
      </c>
      <c r="B198" s="149">
        <f t="shared" ref="B198:U198" si="130">B167-B184</f>
        <v>7.509324475</v>
      </c>
      <c r="C198" s="149">
        <f t="shared" si="130"/>
        <v>0</v>
      </c>
      <c r="D198" s="149">
        <f t="shared" si="130"/>
        <v>30.55883485</v>
      </c>
      <c r="E198" s="149">
        <f t="shared" si="130"/>
        <v>129.353218</v>
      </c>
      <c r="F198" s="149">
        <f t="shared" si="130"/>
        <v>0</v>
      </c>
      <c r="G198" s="149">
        <f t="shared" si="130"/>
        <v>8.088837612</v>
      </c>
      <c r="H198" s="149">
        <f t="shared" si="130"/>
        <v>11.56294667</v>
      </c>
      <c r="I198" s="149">
        <f t="shared" si="130"/>
        <v>49.2</v>
      </c>
      <c r="J198" s="149">
        <f t="shared" si="130"/>
        <v>8.835074823</v>
      </c>
      <c r="K198" s="149">
        <f t="shared" si="130"/>
        <v>0</v>
      </c>
      <c r="L198" s="149">
        <f t="shared" si="130"/>
        <v>22.6117291</v>
      </c>
      <c r="M198" s="149">
        <f t="shared" si="130"/>
        <v>0</v>
      </c>
      <c r="N198" s="149">
        <f t="shared" si="130"/>
        <v>9.5033726</v>
      </c>
      <c r="O198" s="149">
        <f t="shared" si="130"/>
        <v>0</v>
      </c>
      <c r="P198" s="149">
        <f t="shared" si="130"/>
        <v>16.38512392</v>
      </c>
      <c r="Q198" s="149">
        <f t="shared" si="130"/>
        <v>27.62689913</v>
      </c>
      <c r="R198" s="149">
        <f t="shared" si="130"/>
        <v>0</v>
      </c>
      <c r="S198" s="149">
        <f t="shared" si="130"/>
        <v>7.98706651</v>
      </c>
      <c r="T198" s="149">
        <f t="shared" si="130"/>
        <v>43.63479435</v>
      </c>
      <c r="U198" s="149">
        <f t="shared" si="130"/>
        <v>10.84400649</v>
      </c>
      <c r="V198" s="198"/>
      <c r="W198" s="198"/>
      <c r="X198" s="198"/>
      <c r="Y198" s="198"/>
      <c r="Z198" s="19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</row>
    <row r="199" ht="15.75" customHeight="1">
      <c r="A199" s="381" t="s">
        <v>452</v>
      </c>
      <c r="B199" s="149">
        <f t="shared" ref="B199:U199" si="131">B168-B185</f>
        <v>0</v>
      </c>
      <c r="C199" s="149">
        <f t="shared" si="131"/>
        <v>0</v>
      </c>
      <c r="D199" s="149">
        <f t="shared" si="131"/>
        <v>55.22638363</v>
      </c>
      <c r="E199" s="149">
        <f t="shared" si="131"/>
        <v>440.3875624</v>
      </c>
      <c r="F199" s="149">
        <f t="shared" si="131"/>
        <v>0</v>
      </c>
      <c r="G199" s="149">
        <f t="shared" si="131"/>
        <v>21.19115357</v>
      </c>
      <c r="H199" s="149">
        <f t="shared" si="131"/>
        <v>30.05329542</v>
      </c>
      <c r="I199" s="149">
        <f t="shared" si="131"/>
        <v>0</v>
      </c>
      <c r="J199" s="149">
        <f t="shared" si="131"/>
        <v>0</v>
      </c>
      <c r="K199" s="149">
        <f t="shared" si="131"/>
        <v>0</v>
      </c>
      <c r="L199" s="149">
        <f t="shared" si="131"/>
        <v>50.43137609</v>
      </c>
      <c r="M199" s="149">
        <f t="shared" si="131"/>
        <v>0</v>
      </c>
      <c r="N199" s="149">
        <f t="shared" si="131"/>
        <v>29.65135188</v>
      </c>
      <c r="O199" s="149">
        <f t="shared" si="131"/>
        <v>0</v>
      </c>
      <c r="P199" s="149">
        <f t="shared" si="131"/>
        <v>74.75342801</v>
      </c>
      <c r="Q199" s="149">
        <f t="shared" si="131"/>
        <v>50.35376193</v>
      </c>
      <c r="R199" s="149">
        <f t="shared" si="131"/>
        <v>0</v>
      </c>
      <c r="S199" s="149">
        <f t="shared" si="131"/>
        <v>9.398625685</v>
      </c>
      <c r="T199" s="149">
        <f t="shared" si="131"/>
        <v>70.52614267</v>
      </c>
      <c r="U199" s="149">
        <f t="shared" si="131"/>
        <v>21.04051763</v>
      </c>
      <c r="V199" s="198"/>
      <c r="W199" s="198"/>
      <c r="X199" s="198"/>
      <c r="Y199" s="198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  <c r="AL199" s="198"/>
      <c r="AM199" s="198"/>
      <c r="AN199" s="198"/>
      <c r="AO199" s="198"/>
      <c r="AP199" s="198"/>
      <c r="AQ199" s="198"/>
      <c r="AR199" s="198"/>
      <c r="AS199" s="198"/>
    </row>
    <row r="200" ht="15.75" customHeight="1">
      <c r="A200" s="381" t="s">
        <v>453</v>
      </c>
      <c r="B200" s="149">
        <f t="shared" ref="B200:U200" si="132">B169-B186</f>
        <v>0</v>
      </c>
      <c r="C200" s="149">
        <f t="shared" si="132"/>
        <v>0</v>
      </c>
      <c r="D200" s="149">
        <f t="shared" si="132"/>
        <v>106.2230491</v>
      </c>
      <c r="E200" s="149">
        <f t="shared" si="132"/>
        <v>834.7589595</v>
      </c>
      <c r="F200" s="149">
        <f t="shared" si="132"/>
        <v>0</v>
      </c>
      <c r="G200" s="149">
        <f t="shared" si="132"/>
        <v>22.37929837</v>
      </c>
      <c r="H200" s="149">
        <f t="shared" si="132"/>
        <v>31.49584488</v>
      </c>
      <c r="I200" s="149">
        <f t="shared" si="132"/>
        <v>51</v>
      </c>
      <c r="J200" s="149">
        <f t="shared" si="132"/>
        <v>11.86556169</v>
      </c>
      <c r="K200" s="149">
        <f t="shared" si="132"/>
        <v>0</v>
      </c>
      <c r="L200" s="149">
        <f t="shared" si="132"/>
        <v>119.5334797</v>
      </c>
      <c r="M200" s="149">
        <f t="shared" si="132"/>
        <v>0</v>
      </c>
      <c r="N200" s="149">
        <f t="shared" si="132"/>
        <v>67.73828968</v>
      </c>
      <c r="O200" s="149">
        <f t="shared" si="132"/>
        <v>0</v>
      </c>
      <c r="P200" s="149">
        <f t="shared" si="132"/>
        <v>166.8189221</v>
      </c>
      <c r="Q200" s="149">
        <f t="shared" si="132"/>
        <v>93.35355945</v>
      </c>
      <c r="R200" s="149">
        <f t="shared" si="132"/>
        <v>0</v>
      </c>
      <c r="S200" s="149">
        <f t="shared" si="132"/>
        <v>17.9895214</v>
      </c>
      <c r="T200" s="149">
        <f t="shared" si="132"/>
        <v>187.5415148</v>
      </c>
      <c r="U200" s="149">
        <f t="shared" si="132"/>
        <v>28.70483125</v>
      </c>
      <c r="V200" s="198"/>
      <c r="W200" s="198"/>
      <c r="X200" s="198"/>
      <c r="Y200" s="198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  <c r="AL200" s="198"/>
      <c r="AM200" s="198"/>
      <c r="AN200" s="198"/>
      <c r="AO200" s="198"/>
      <c r="AP200" s="198"/>
      <c r="AQ200" s="198"/>
      <c r="AR200" s="198"/>
      <c r="AS200" s="198"/>
    </row>
    <row r="201" ht="15.75" customHeight="1">
      <c r="A201" s="381" t="s">
        <v>454</v>
      </c>
      <c r="B201" s="149">
        <f t="shared" ref="B201:U201" si="133">B170-B187</f>
        <v>11.71268835</v>
      </c>
      <c r="C201" s="149">
        <f t="shared" si="133"/>
        <v>0</v>
      </c>
      <c r="D201" s="149">
        <f t="shared" si="133"/>
        <v>164.5427819</v>
      </c>
      <c r="E201" s="149">
        <f t="shared" si="133"/>
        <v>1944.51622</v>
      </c>
      <c r="F201" s="149">
        <f t="shared" si="133"/>
        <v>0</v>
      </c>
      <c r="G201" s="149">
        <f t="shared" si="133"/>
        <v>25.99788843</v>
      </c>
      <c r="H201" s="149">
        <f t="shared" si="133"/>
        <v>36.30044701</v>
      </c>
      <c r="I201" s="149">
        <f t="shared" si="133"/>
        <v>52.5</v>
      </c>
      <c r="J201" s="149">
        <f t="shared" si="133"/>
        <v>13.58112917</v>
      </c>
      <c r="K201" s="149">
        <f t="shared" si="133"/>
        <v>0</v>
      </c>
      <c r="L201" s="149">
        <f t="shared" si="133"/>
        <v>130.9320873</v>
      </c>
      <c r="M201" s="149">
        <f t="shared" si="133"/>
        <v>0</v>
      </c>
      <c r="N201" s="149">
        <f t="shared" si="133"/>
        <v>164.3632728</v>
      </c>
      <c r="O201" s="149">
        <f t="shared" si="133"/>
        <v>0</v>
      </c>
      <c r="P201" s="149">
        <f t="shared" si="133"/>
        <v>356.7979583</v>
      </c>
      <c r="Q201" s="149">
        <f t="shared" si="133"/>
        <v>140.9793624</v>
      </c>
      <c r="R201" s="149">
        <f t="shared" si="133"/>
        <v>0</v>
      </c>
      <c r="S201" s="149">
        <f t="shared" si="133"/>
        <v>41.3076071</v>
      </c>
      <c r="T201" s="149">
        <f t="shared" si="133"/>
        <v>378.1762349</v>
      </c>
      <c r="U201" s="149">
        <f t="shared" si="133"/>
        <v>173.9901016</v>
      </c>
      <c r="V201" s="198"/>
      <c r="W201" s="198"/>
      <c r="X201" s="198"/>
      <c r="Y201" s="198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198"/>
      <c r="AK201" s="198"/>
      <c r="AL201" s="198"/>
      <c r="AM201" s="198"/>
      <c r="AN201" s="198"/>
      <c r="AO201" s="198"/>
      <c r="AP201" s="198"/>
      <c r="AQ201" s="198"/>
      <c r="AR201" s="198"/>
      <c r="AS201" s="198"/>
    </row>
    <row r="202" ht="15.75" customHeight="1">
      <c r="A202" s="381" t="s">
        <v>455</v>
      </c>
      <c r="B202" s="149">
        <f t="shared" ref="B202:U202" si="134">B171-B188</f>
        <v>12.31097075</v>
      </c>
      <c r="C202" s="149">
        <f t="shared" si="134"/>
        <v>0</v>
      </c>
      <c r="D202" s="149">
        <f t="shared" si="134"/>
        <v>594.586619</v>
      </c>
      <c r="E202" s="149">
        <f t="shared" si="134"/>
        <v>3262.374224</v>
      </c>
      <c r="F202" s="149">
        <f t="shared" si="134"/>
        <v>0</v>
      </c>
      <c r="G202" s="149">
        <f t="shared" si="134"/>
        <v>35.55996193</v>
      </c>
      <c r="H202" s="149">
        <f t="shared" si="134"/>
        <v>49.61172826</v>
      </c>
      <c r="I202" s="149">
        <f t="shared" si="134"/>
        <v>54.6</v>
      </c>
      <c r="J202" s="149">
        <f t="shared" si="134"/>
        <v>0</v>
      </c>
      <c r="K202" s="149">
        <f t="shared" si="134"/>
        <v>0</v>
      </c>
      <c r="L202" s="149">
        <f t="shared" si="134"/>
        <v>221.2401368</v>
      </c>
      <c r="M202" s="149">
        <f t="shared" si="134"/>
        <v>0</v>
      </c>
      <c r="N202" s="149">
        <f t="shared" si="134"/>
        <v>248.7947906</v>
      </c>
      <c r="O202" s="149">
        <f t="shared" si="134"/>
        <v>0</v>
      </c>
      <c r="P202" s="149">
        <f t="shared" si="134"/>
        <v>560.8417401</v>
      </c>
      <c r="Q202" s="149">
        <f t="shared" si="134"/>
        <v>258.9163221</v>
      </c>
      <c r="R202" s="149">
        <f t="shared" si="134"/>
        <v>0</v>
      </c>
      <c r="S202" s="149">
        <f t="shared" si="134"/>
        <v>60.77384302</v>
      </c>
      <c r="T202" s="149">
        <f t="shared" si="134"/>
        <v>605.1577607</v>
      </c>
      <c r="U202" s="149">
        <f t="shared" si="134"/>
        <v>262.570983</v>
      </c>
      <c r="V202" s="198"/>
      <c r="W202" s="198"/>
      <c r="X202" s="198"/>
      <c r="Y202" s="198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198"/>
      <c r="AM202" s="198"/>
      <c r="AN202" s="198"/>
      <c r="AO202" s="198"/>
      <c r="AP202" s="198"/>
      <c r="AQ202" s="198"/>
      <c r="AR202" s="198"/>
      <c r="AS202" s="198"/>
    </row>
    <row r="203" ht="15.75" customHeight="1">
      <c r="A203" s="381" t="s">
        <v>456</v>
      </c>
      <c r="B203" s="149">
        <f t="shared" ref="B203:U203" si="135">B172-B189</f>
        <v>12.91975502</v>
      </c>
      <c r="C203" s="149">
        <f t="shared" si="135"/>
        <v>0</v>
      </c>
      <c r="D203" s="149">
        <f t="shared" si="135"/>
        <v>1303.44422</v>
      </c>
      <c r="E203" s="149">
        <f t="shared" si="135"/>
        <v>6885.611786</v>
      </c>
      <c r="F203" s="149">
        <f t="shared" si="135"/>
        <v>0</v>
      </c>
      <c r="G203" s="149">
        <f t="shared" si="135"/>
        <v>48.80101285</v>
      </c>
      <c r="H203" s="149">
        <f t="shared" si="135"/>
        <v>68.08507255</v>
      </c>
      <c r="I203" s="149">
        <f t="shared" si="135"/>
        <v>171.9</v>
      </c>
      <c r="J203" s="149">
        <f t="shared" si="135"/>
        <v>29.94688571</v>
      </c>
      <c r="K203" s="149">
        <f t="shared" si="135"/>
        <v>0</v>
      </c>
      <c r="L203" s="149">
        <f t="shared" si="135"/>
        <v>364.855202</v>
      </c>
      <c r="M203" s="149">
        <f t="shared" si="135"/>
        <v>0</v>
      </c>
      <c r="N203" s="149">
        <f t="shared" si="135"/>
        <v>383.6539539</v>
      </c>
      <c r="O203" s="149">
        <f t="shared" si="135"/>
        <v>0</v>
      </c>
      <c r="P203" s="149">
        <f t="shared" si="135"/>
        <v>1270.982249</v>
      </c>
      <c r="Q203" s="149">
        <f t="shared" si="135"/>
        <v>582.2568782</v>
      </c>
      <c r="R203" s="149">
        <f t="shared" si="135"/>
        <v>0</v>
      </c>
      <c r="S203" s="149">
        <f t="shared" si="135"/>
        <v>145.7808982</v>
      </c>
      <c r="T203" s="149">
        <f t="shared" si="135"/>
        <v>1298.392206</v>
      </c>
      <c r="U203" s="149">
        <f t="shared" si="135"/>
        <v>533.1395294</v>
      </c>
      <c r="V203" s="198"/>
      <c r="W203" s="198"/>
      <c r="X203" s="198"/>
      <c r="Y203" s="198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  <c r="AL203" s="198"/>
      <c r="AM203" s="198"/>
      <c r="AN203" s="198"/>
      <c r="AO203" s="198"/>
      <c r="AP203" s="198"/>
      <c r="AQ203" s="198"/>
      <c r="AR203" s="198"/>
      <c r="AS203" s="198"/>
    </row>
    <row r="204" ht="15.75" customHeight="1">
      <c r="A204" s="381" t="s">
        <v>457</v>
      </c>
      <c r="B204" s="149">
        <f t="shared" ref="B204:U204" si="136">B173</f>
        <v>23.67001592</v>
      </c>
      <c r="C204" s="149">
        <f t="shared" si="136"/>
        <v>0</v>
      </c>
      <c r="D204" s="149">
        <f t="shared" si="136"/>
        <v>2369.54495</v>
      </c>
      <c r="E204" s="149">
        <f t="shared" si="136"/>
        <v>7336.242184</v>
      </c>
      <c r="F204" s="149">
        <f t="shared" si="136"/>
        <v>0</v>
      </c>
      <c r="G204" s="149">
        <f t="shared" si="136"/>
        <v>79.43497537</v>
      </c>
      <c r="H204" s="149">
        <f t="shared" si="136"/>
        <v>112.3900763</v>
      </c>
      <c r="I204" s="149">
        <f t="shared" si="136"/>
        <v>112.7</v>
      </c>
      <c r="J204" s="149">
        <f t="shared" si="136"/>
        <v>48.42135678</v>
      </c>
      <c r="K204" s="149">
        <f t="shared" si="136"/>
        <v>0</v>
      </c>
      <c r="L204" s="149">
        <f t="shared" si="136"/>
        <v>439.6890841</v>
      </c>
      <c r="M204" s="149">
        <f t="shared" si="136"/>
        <v>0</v>
      </c>
      <c r="N204" s="149">
        <f t="shared" si="136"/>
        <v>448.696498</v>
      </c>
      <c r="O204" s="149">
        <f t="shared" si="136"/>
        <v>0</v>
      </c>
      <c r="P204" s="149">
        <f t="shared" si="136"/>
        <v>1305.482846</v>
      </c>
      <c r="Q204" s="149">
        <f t="shared" si="136"/>
        <v>931.9307095</v>
      </c>
      <c r="R204" s="149">
        <f t="shared" si="136"/>
        <v>0</v>
      </c>
      <c r="S204" s="149">
        <f t="shared" si="136"/>
        <v>175.820165</v>
      </c>
      <c r="T204" s="149">
        <f t="shared" si="136"/>
        <v>1340.505732</v>
      </c>
      <c r="U204" s="149">
        <f t="shared" si="136"/>
        <v>639.0132112</v>
      </c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8"/>
    </row>
    <row r="205" ht="15.75" customHeight="1">
      <c r="A205" s="381" t="s">
        <v>458</v>
      </c>
      <c r="B205" s="149">
        <f t="shared" ref="B205:U205" si="137">B174</f>
        <v>13.07653218</v>
      </c>
      <c r="C205" s="149">
        <f t="shared" si="137"/>
        <v>0</v>
      </c>
      <c r="D205" s="149">
        <f t="shared" si="137"/>
        <v>2420.098765</v>
      </c>
      <c r="E205" s="149">
        <f t="shared" si="137"/>
        <v>7202.267971</v>
      </c>
      <c r="F205" s="149">
        <f t="shared" si="137"/>
        <v>0</v>
      </c>
      <c r="G205" s="149">
        <f t="shared" si="137"/>
        <v>62.4020507</v>
      </c>
      <c r="H205" s="149">
        <f t="shared" si="137"/>
        <v>88.72580994</v>
      </c>
      <c r="I205" s="149">
        <f t="shared" si="137"/>
        <v>64.5</v>
      </c>
      <c r="J205" s="149">
        <f t="shared" si="137"/>
        <v>51.11008468</v>
      </c>
      <c r="K205" s="149">
        <f t="shared" si="137"/>
        <v>22.52224254</v>
      </c>
      <c r="L205" s="149">
        <f t="shared" si="137"/>
        <v>416.9797373</v>
      </c>
      <c r="M205" s="149">
        <f t="shared" si="137"/>
        <v>0</v>
      </c>
      <c r="N205" s="149">
        <f t="shared" si="137"/>
        <v>400.6413793</v>
      </c>
      <c r="O205" s="149">
        <f t="shared" si="137"/>
        <v>0</v>
      </c>
      <c r="P205" s="149">
        <f t="shared" si="137"/>
        <v>1060.108133</v>
      </c>
      <c r="Q205" s="149">
        <f t="shared" si="137"/>
        <v>771.4800996</v>
      </c>
      <c r="R205" s="149">
        <f t="shared" si="137"/>
        <v>0</v>
      </c>
      <c r="S205" s="149">
        <f t="shared" si="137"/>
        <v>101.8705541</v>
      </c>
      <c r="T205" s="149">
        <f t="shared" si="137"/>
        <v>1370.893315</v>
      </c>
      <c r="U205" s="149">
        <f t="shared" si="137"/>
        <v>664.6783285</v>
      </c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198"/>
    </row>
    <row r="206" ht="15.75" customHeight="1">
      <c r="A206" s="381" t="s">
        <v>459</v>
      </c>
      <c r="B206" s="149">
        <f t="shared" ref="B206:U206" si="138">B175</f>
        <v>22.67957709</v>
      </c>
      <c r="C206" s="149">
        <f t="shared" si="138"/>
        <v>5.206651743</v>
      </c>
      <c r="D206" s="149">
        <f t="shared" si="138"/>
        <v>3384.610745</v>
      </c>
      <c r="E206" s="149">
        <f t="shared" si="138"/>
        <v>10728.71224</v>
      </c>
      <c r="F206" s="149">
        <f t="shared" si="138"/>
        <v>0</v>
      </c>
      <c r="G206" s="149">
        <f t="shared" si="138"/>
        <v>51.92012835</v>
      </c>
      <c r="H206" s="149">
        <f t="shared" si="138"/>
        <v>74.58396424</v>
      </c>
      <c r="I206" s="149">
        <f t="shared" si="138"/>
        <v>0</v>
      </c>
      <c r="J206" s="149">
        <f t="shared" si="138"/>
        <v>74.68206915</v>
      </c>
      <c r="K206" s="149">
        <f t="shared" si="138"/>
        <v>0</v>
      </c>
      <c r="L206" s="149">
        <f t="shared" si="138"/>
        <v>520.6233025</v>
      </c>
      <c r="M206" s="149">
        <f t="shared" si="138"/>
        <v>0</v>
      </c>
      <c r="N206" s="149">
        <f t="shared" si="138"/>
        <v>338.1770976</v>
      </c>
      <c r="O206" s="149">
        <f t="shared" si="138"/>
        <v>0</v>
      </c>
      <c r="P206" s="149">
        <f t="shared" si="138"/>
        <v>799.693293</v>
      </c>
      <c r="Q206" s="149">
        <f t="shared" si="138"/>
        <v>847.7461078</v>
      </c>
      <c r="R206" s="149">
        <f t="shared" si="138"/>
        <v>0</v>
      </c>
      <c r="S206" s="149">
        <f t="shared" si="138"/>
        <v>137.3951694</v>
      </c>
      <c r="T206" s="149">
        <f t="shared" si="138"/>
        <v>2120.61746</v>
      </c>
      <c r="U206" s="149">
        <f t="shared" si="138"/>
        <v>968.404619</v>
      </c>
      <c r="V206" s="198"/>
      <c r="W206" s="198"/>
      <c r="X206" s="198"/>
      <c r="Y206" s="198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8"/>
    </row>
    <row r="207" ht="15.75" customHeight="1">
      <c r="A207" s="13" t="s">
        <v>68</v>
      </c>
      <c r="B207" s="505">
        <f t="shared" ref="B207:U207" si="139">SUM(B194:B206)</f>
        <v>103.8788638</v>
      </c>
      <c r="C207" s="505">
        <f t="shared" si="139"/>
        <v>5.206651743</v>
      </c>
      <c r="D207" s="505">
        <f t="shared" si="139"/>
        <v>10476.83981</v>
      </c>
      <c r="E207" s="505">
        <f t="shared" si="139"/>
        <v>38791.00099</v>
      </c>
      <c r="F207" s="505">
        <f t="shared" si="139"/>
        <v>0</v>
      </c>
      <c r="G207" s="505">
        <f t="shared" si="139"/>
        <v>363.4380728</v>
      </c>
      <c r="H207" s="505">
        <f t="shared" si="139"/>
        <v>513.9804123</v>
      </c>
      <c r="I207" s="505">
        <f t="shared" si="139"/>
        <v>605</v>
      </c>
      <c r="J207" s="505">
        <f t="shared" si="139"/>
        <v>241.5596508</v>
      </c>
      <c r="K207" s="505">
        <f t="shared" si="139"/>
        <v>22.52224254</v>
      </c>
      <c r="L207" s="505">
        <f t="shared" si="139"/>
        <v>2301.319644</v>
      </c>
      <c r="M207" s="505">
        <f t="shared" si="139"/>
        <v>0</v>
      </c>
      <c r="N207" s="505">
        <f t="shared" si="139"/>
        <v>2093.299934</v>
      </c>
      <c r="O207" s="505">
        <f t="shared" si="139"/>
        <v>0</v>
      </c>
      <c r="P207" s="505">
        <f t="shared" si="139"/>
        <v>5611.863693</v>
      </c>
      <c r="Q207" s="505">
        <f t="shared" si="139"/>
        <v>3724.651747</v>
      </c>
      <c r="R207" s="505">
        <f t="shared" si="139"/>
        <v>0</v>
      </c>
      <c r="S207" s="505">
        <f t="shared" si="139"/>
        <v>698.3234504</v>
      </c>
      <c r="T207" s="505">
        <f t="shared" si="139"/>
        <v>7440.931163</v>
      </c>
      <c r="U207" s="505">
        <f t="shared" si="139"/>
        <v>3310.578392</v>
      </c>
      <c r="V207" s="149">
        <f>SUM(B207:U207)</f>
        <v>76304.39472</v>
      </c>
      <c r="W207" s="198"/>
      <c r="X207" s="198"/>
      <c r="Y207" s="198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8"/>
    </row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4">
    <mergeCell ref="W126:Z126"/>
    <mergeCell ref="A128:E128"/>
    <mergeCell ref="A142:C142"/>
    <mergeCell ref="A161:D161"/>
    <mergeCell ref="W176:Z176"/>
    <mergeCell ref="A178:E178"/>
    <mergeCell ref="A192:C192"/>
    <mergeCell ref="W3:Y3"/>
    <mergeCell ref="A92:C92"/>
    <mergeCell ref="C108:E108"/>
    <mergeCell ref="F108:H108"/>
    <mergeCell ref="I108:J108"/>
    <mergeCell ref="K108:N108"/>
    <mergeCell ref="A111:D111"/>
  </mergeCells>
  <printOptions/>
  <pageMargins bottom="0.787401575" footer="0.0" header="0.0" left="0.7" right="0.7" top="0.7874015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3.5"/>
    <col customWidth="1" min="2" max="2" width="12.38"/>
    <col customWidth="1" min="3" max="11" width="11.25"/>
  </cols>
  <sheetData>
    <row r="1" ht="15.75" customHeight="1">
      <c r="A1" s="336" t="s">
        <v>613</v>
      </c>
      <c r="B1" s="194"/>
      <c r="C1" s="194"/>
      <c r="D1" s="532"/>
      <c r="E1" s="533" t="s">
        <v>614</v>
      </c>
      <c r="F1" s="195"/>
      <c r="G1" s="336" t="s">
        <v>615</v>
      </c>
      <c r="H1" s="195"/>
      <c r="I1" s="534" t="str">
        <f>HYPERLINK("https://www.czso.cz/csu/czso/struktura-mezd-zamestnancu-2018","zdroj ČSÚ, 2018")</f>
        <v>zdroj ČSÚ, 2018</v>
      </c>
    </row>
    <row r="2" ht="15.75" customHeight="1">
      <c r="A2" s="444"/>
      <c r="B2" s="535" t="s">
        <v>68</v>
      </c>
      <c r="C2" s="536" t="s">
        <v>409</v>
      </c>
      <c r="D2" s="537" t="s">
        <v>410</v>
      </c>
      <c r="E2" s="536" t="s">
        <v>409</v>
      </c>
      <c r="F2" s="537" t="s">
        <v>410</v>
      </c>
      <c r="G2" s="536" t="s">
        <v>409</v>
      </c>
      <c r="H2" s="537" t="s">
        <v>410</v>
      </c>
    </row>
    <row r="3" ht="15.75" customHeight="1">
      <c r="A3" s="434" t="s">
        <v>504</v>
      </c>
      <c r="B3" s="538">
        <v>33684.0</v>
      </c>
      <c r="C3" s="539">
        <v>37008.0</v>
      </c>
      <c r="D3" s="540">
        <v>29627.0</v>
      </c>
      <c r="E3" s="539">
        <f t="shared" ref="E3:F3" si="1">C3*1.34</f>
        <v>49590.72</v>
      </c>
      <c r="F3" s="540">
        <f t="shared" si="1"/>
        <v>39700.18</v>
      </c>
      <c r="G3" s="539">
        <f t="shared" ref="G3:G14" si="3">E3+$H$21</f>
        <v>54883.16922</v>
      </c>
      <c r="H3" s="540">
        <f t="shared" ref="H3:H14" si="4">F3+$H$22</f>
        <v>47638.85382</v>
      </c>
    </row>
    <row r="4" ht="15.75" customHeight="1">
      <c r="A4" s="541" t="s">
        <v>616</v>
      </c>
      <c r="B4" s="542">
        <v>22154.0</v>
      </c>
      <c r="C4" s="543">
        <v>22946.0</v>
      </c>
      <c r="D4" s="544">
        <v>20876.0</v>
      </c>
      <c r="E4" s="543">
        <f t="shared" ref="E4:F4" si="2">C4*1.34</f>
        <v>30747.64</v>
      </c>
      <c r="F4" s="544">
        <f t="shared" si="2"/>
        <v>27973.84</v>
      </c>
      <c r="G4" s="543">
        <f t="shared" si="3"/>
        <v>36040.08922</v>
      </c>
      <c r="H4" s="544">
        <f t="shared" si="4"/>
        <v>35912.51382</v>
      </c>
    </row>
    <row r="5" ht="15.75" customHeight="1">
      <c r="A5" s="541" t="s">
        <v>617</v>
      </c>
      <c r="B5" s="542">
        <v>25202.0</v>
      </c>
      <c r="C5" s="543">
        <v>26376.0</v>
      </c>
      <c r="D5" s="544">
        <v>23442.0</v>
      </c>
      <c r="E5" s="543">
        <f t="shared" ref="E5:F5" si="5">C5*1.34</f>
        <v>35343.84</v>
      </c>
      <c r="F5" s="544">
        <f t="shared" si="5"/>
        <v>31412.28</v>
      </c>
      <c r="G5" s="543">
        <f t="shared" si="3"/>
        <v>40636.28922</v>
      </c>
      <c r="H5" s="544">
        <f t="shared" si="4"/>
        <v>39350.95382</v>
      </c>
    </row>
    <row r="6" ht="15.75" customHeight="1">
      <c r="A6" s="541" t="s">
        <v>618</v>
      </c>
      <c r="B6" s="542">
        <v>30365.0</v>
      </c>
      <c r="C6" s="543">
        <v>31817.0</v>
      </c>
      <c r="D6" s="544">
        <v>28314.0</v>
      </c>
      <c r="E6" s="543">
        <f t="shared" ref="E6:F6" si="6">C6*1.34</f>
        <v>42634.78</v>
      </c>
      <c r="F6" s="544">
        <f t="shared" si="6"/>
        <v>37940.76</v>
      </c>
      <c r="G6" s="543">
        <f t="shared" si="3"/>
        <v>47927.22922</v>
      </c>
      <c r="H6" s="544">
        <f t="shared" si="4"/>
        <v>45879.43382</v>
      </c>
    </row>
    <row r="7" ht="15.75" customHeight="1">
      <c r="A7" s="541" t="s">
        <v>619</v>
      </c>
      <c r="B7" s="542">
        <v>34311.0</v>
      </c>
      <c r="C7" s="543">
        <v>36495.0</v>
      </c>
      <c r="D7" s="544">
        <v>30650.0</v>
      </c>
      <c r="E7" s="543">
        <f t="shared" ref="E7:F7" si="7">C7*1.34</f>
        <v>48903.3</v>
      </c>
      <c r="F7" s="544">
        <f t="shared" si="7"/>
        <v>41071</v>
      </c>
      <c r="G7" s="543">
        <f t="shared" si="3"/>
        <v>54195.74922</v>
      </c>
      <c r="H7" s="544">
        <f t="shared" si="4"/>
        <v>49009.67382</v>
      </c>
    </row>
    <row r="8" ht="15.75" customHeight="1">
      <c r="A8" s="541" t="s">
        <v>620</v>
      </c>
      <c r="B8" s="542">
        <v>35682.0</v>
      </c>
      <c r="C8" s="543">
        <v>39695.0</v>
      </c>
      <c r="D8" s="544">
        <v>30144.0</v>
      </c>
      <c r="E8" s="543">
        <f t="shared" ref="E8:F8" si="8">C8*1.34</f>
        <v>53191.3</v>
      </c>
      <c r="F8" s="544">
        <f t="shared" si="8"/>
        <v>40392.96</v>
      </c>
      <c r="G8" s="543">
        <f t="shared" si="3"/>
        <v>58483.74922</v>
      </c>
      <c r="H8" s="544">
        <f t="shared" si="4"/>
        <v>48331.63382</v>
      </c>
    </row>
    <row r="9" ht="15.75" customHeight="1">
      <c r="A9" s="541" t="s">
        <v>621</v>
      </c>
      <c r="B9" s="542">
        <v>35990.0</v>
      </c>
      <c r="C9" s="543">
        <v>41489.0</v>
      </c>
      <c r="D9" s="544">
        <v>30160.0</v>
      </c>
      <c r="E9" s="543">
        <f t="shared" ref="E9:F9" si="9">C9*1.34</f>
        <v>55595.26</v>
      </c>
      <c r="F9" s="544">
        <f t="shared" si="9"/>
        <v>40414.4</v>
      </c>
      <c r="G9" s="543">
        <f t="shared" si="3"/>
        <v>60887.70922</v>
      </c>
      <c r="H9" s="544">
        <f t="shared" si="4"/>
        <v>48353.07382</v>
      </c>
    </row>
    <row r="10" ht="15.75" customHeight="1">
      <c r="A10" s="541" t="s">
        <v>622</v>
      </c>
      <c r="B10" s="542">
        <v>34879.0</v>
      </c>
      <c r="C10" s="543">
        <v>40013.0</v>
      </c>
      <c r="D10" s="544">
        <v>29803.0</v>
      </c>
      <c r="E10" s="543">
        <f t="shared" ref="E10:F10" si="10">C10*1.34</f>
        <v>53617.42</v>
      </c>
      <c r="F10" s="544">
        <f t="shared" si="10"/>
        <v>39936.02</v>
      </c>
      <c r="G10" s="543">
        <f t="shared" si="3"/>
        <v>58909.86922</v>
      </c>
      <c r="H10" s="544">
        <f t="shared" si="4"/>
        <v>47874.69382</v>
      </c>
    </row>
    <row r="11" ht="15.75" customHeight="1">
      <c r="A11" s="541" t="s">
        <v>623</v>
      </c>
      <c r="B11" s="542">
        <v>33883.0</v>
      </c>
      <c r="C11" s="543">
        <v>37858.0</v>
      </c>
      <c r="D11" s="544">
        <v>29908.0</v>
      </c>
      <c r="E11" s="543">
        <f t="shared" ref="E11:F11" si="11">C11*1.34</f>
        <v>50729.72</v>
      </c>
      <c r="F11" s="544">
        <f t="shared" si="11"/>
        <v>40076.72</v>
      </c>
      <c r="G11" s="543">
        <f t="shared" si="3"/>
        <v>56022.16922</v>
      </c>
      <c r="H11" s="544">
        <f t="shared" si="4"/>
        <v>48015.39382</v>
      </c>
      <c r="I11" s="533" t="s">
        <v>624</v>
      </c>
      <c r="J11" s="195"/>
    </row>
    <row r="12" ht="15.75" customHeight="1">
      <c r="A12" s="541" t="s">
        <v>625</v>
      </c>
      <c r="B12" s="542">
        <v>32451.0</v>
      </c>
      <c r="C12" s="543">
        <v>35603.0</v>
      </c>
      <c r="D12" s="544">
        <v>29398.0</v>
      </c>
      <c r="E12" s="543">
        <f t="shared" ref="E12:F12" si="12">C12*1.34</f>
        <v>47708.02</v>
      </c>
      <c r="F12" s="544">
        <f t="shared" si="12"/>
        <v>39393.32</v>
      </c>
      <c r="G12" s="543">
        <f t="shared" si="3"/>
        <v>53000.46922</v>
      </c>
      <c r="H12" s="544">
        <f t="shared" si="4"/>
        <v>47331.99382</v>
      </c>
      <c r="I12" s="536" t="s">
        <v>409</v>
      </c>
      <c r="J12" s="537" t="s">
        <v>410</v>
      </c>
    </row>
    <row r="13" ht="15.75" customHeight="1">
      <c r="A13" s="541" t="s">
        <v>626</v>
      </c>
      <c r="B13" s="542">
        <v>34045.0</v>
      </c>
      <c r="C13" s="543">
        <v>35037.0</v>
      </c>
      <c r="D13" s="544">
        <v>32271.0</v>
      </c>
      <c r="E13" s="543">
        <f t="shared" ref="E13:F13" si="13">C13*1.34</f>
        <v>46949.58</v>
      </c>
      <c r="F13" s="544">
        <f t="shared" si="13"/>
        <v>43243.14</v>
      </c>
      <c r="G13" s="543">
        <f t="shared" si="3"/>
        <v>52242.02922</v>
      </c>
      <c r="H13" s="544">
        <f t="shared" si="4"/>
        <v>51181.81382</v>
      </c>
      <c r="I13" s="397" t="s">
        <v>95</v>
      </c>
      <c r="J13" s="545">
        <f>H13-F13</f>
        <v>7938.673825</v>
      </c>
      <c r="K13" s="198" t="s">
        <v>627</v>
      </c>
    </row>
    <row r="14" ht="15.75" customHeight="1">
      <c r="A14" s="546" t="s">
        <v>628</v>
      </c>
      <c r="B14" s="547">
        <v>34470.0</v>
      </c>
      <c r="C14" s="548">
        <v>36812.0</v>
      </c>
      <c r="D14" s="549">
        <v>30274.0</v>
      </c>
      <c r="E14" s="548">
        <f t="shared" ref="E14:F14" si="14">C14*1.34</f>
        <v>49328.08</v>
      </c>
      <c r="F14" s="549">
        <f t="shared" si="14"/>
        <v>40567.16</v>
      </c>
      <c r="G14" s="548">
        <f t="shared" si="3"/>
        <v>54620.52922</v>
      </c>
      <c r="H14" s="549">
        <f t="shared" si="4"/>
        <v>48505.83382</v>
      </c>
      <c r="I14" s="550">
        <f t="shared" ref="I14:J14" si="15">G14-E14</f>
        <v>5292.449216</v>
      </c>
      <c r="J14" s="551">
        <f t="shared" si="15"/>
        <v>7938.673825</v>
      </c>
    </row>
    <row r="15" ht="15.75" customHeight="1"/>
    <row r="16" ht="15.75" customHeight="1">
      <c r="A16" s="552" t="s">
        <v>629</v>
      </c>
      <c r="B16" s="552"/>
    </row>
    <row r="17" ht="15.75" customHeight="1">
      <c r="A17" s="14" t="s">
        <v>630</v>
      </c>
      <c r="B17" s="24">
        <f>91954000/78</f>
        <v>1178897.436</v>
      </c>
      <c r="C17" s="14" t="s">
        <v>631</v>
      </c>
      <c r="E17" s="14" t="s">
        <v>632</v>
      </c>
      <c r="F17" s="14" t="s">
        <v>633</v>
      </c>
    </row>
    <row r="18" ht="15.75" customHeight="1">
      <c r="A18" s="14" t="s">
        <v>634</v>
      </c>
      <c r="B18" s="24">
        <v>1200000.0</v>
      </c>
      <c r="C18" s="14" t="s">
        <v>635</v>
      </c>
    </row>
    <row r="19" ht="15.75" customHeight="1"/>
    <row r="20" ht="15.75" customHeight="1">
      <c r="A20" s="552" t="s">
        <v>636</v>
      </c>
      <c r="B20" s="376" t="s">
        <v>637</v>
      </c>
      <c r="C20" s="376" t="s">
        <v>615</v>
      </c>
      <c r="E20" s="552" t="s">
        <v>638</v>
      </c>
      <c r="F20" s="553" t="s">
        <v>639</v>
      </c>
      <c r="G20" s="553" t="s">
        <v>640</v>
      </c>
      <c r="H20" s="553" t="s">
        <v>641</v>
      </c>
      <c r="I20" s="554" t="s">
        <v>642</v>
      </c>
    </row>
    <row r="21" ht="15.75" customHeight="1">
      <c r="A21" s="20" t="s">
        <v>283</v>
      </c>
      <c r="B21" s="555">
        <f>(E3/B24/B23)*B25</f>
        <v>2281.081877</v>
      </c>
      <c r="C21" s="555">
        <f>(G3/B24/B23)*B25</f>
        <v>2524.524803</v>
      </c>
      <c r="E21" s="20" t="s">
        <v>283</v>
      </c>
      <c r="F21" s="556">
        <v>2.0</v>
      </c>
      <c r="G21" s="557">
        <f>F21*F25</f>
        <v>173.5229251</v>
      </c>
      <c r="H21" s="557">
        <f t="shared" ref="H21:H22" si="16">G21*30.5</f>
        <v>5292.449216</v>
      </c>
      <c r="I21" s="198"/>
    </row>
    <row r="22" ht="15.75" customHeight="1">
      <c r="A22" s="20" t="s">
        <v>284</v>
      </c>
      <c r="B22" s="555">
        <f>(F3/B24/B23)*B25</f>
        <v>1826.135235</v>
      </c>
      <c r="C22" s="555">
        <f>(H3/B24/B23)*B25</f>
        <v>2191.299624</v>
      </c>
      <c r="E22" s="343" t="s">
        <v>284</v>
      </c>
      <c r="F22" s="558">
        <v>3.0</v>
      </c>
      <c r="G22" s="557">
        <f>F22*F25</f>
        <v>260.2843877</v>
      </c>
      <c r="H22" s="557">
        <f t="shared" si="16"/>
        <v>7938.673825</v>
      </c>
      <c r="I22" s="198"/>
    </row>
    <row r="23" ht="15.75" customHeight="1">
      <c r="A23" s="14" t="s">
        <v>643</v>
      </c>
      <c r="B23" s="428">
        <v>40.4</v>
      </c>
      <c r="C23" s="14" t="s">
        <v>488</v>
      </c>
      <c r="E23" s="198" t="s">
        <v>644</v>
      </c>
      <c r="F23" s="557">
        <v>14949.0</v>
      </c>
      <c r="G23" s="554" t="s">
        <v>645</v>
      </c>
      <c r="H23" s="198"/>
      <c r="I23" s="198"/>
    </row>
    <row r="24" ht="15.75" customHeight="1">
      <c r="A24" s="14" t="s">
        <v>646</v>
      </c>
      <c r="B24" s="451">
        <v>4.348</v>
      </c>
      <c r="E24" s="198" t="s">
        <v>647</v>
      </c>
      <c r="F24" s="557">
        <v>172.3</v>
      </c>
      <c r="G24" s="198"/>
      <c r="H24" s="198"/>
      <c r="I24" s="198"/>
    </row>
    <row r="25" ht="15.75" customHeight="1">
      <c r="A25" s="14" t="s">
        <v>648</v>
      </c>
      <c r="B25" s="14">
        <f>40.4/5</f>
        <v>8.08</v>
      </c>
      <c r="C25" s="307"/>
      <c r="E25" s="198" t="s">
        <v>649</v>
      </c>
      <c r="F25" s="559">
        <f>F23/F24</f>
        <v>86.76146257</v>
      </c>
      <c r="G25" s="198"/>
      <c r="H25" s="198"/>
      <c r="I25" s="198"/>
    </row>
    <row r="26" ht="15.75" customHeight="1"/>
    <row r="27" ht="15.75" customHeight="1">
      <c r="A27" s="560" t="str">
        <f>HYPERLINK("https://www.czso.cz/csu/czso/cri/miry-zamestnanosti-nezamestnanosti-a-ekonomicke-aktivity-kveten-2019","ČSÚ")</f>
        <v>ČSÚ</v>
      </c>
      <c r="B27" s="298"/>
      <c r="C27" s="561" t="s">
        <v>650</v>
      </c>
      <c r="D27" s="90"/>
      <c r="E27" s="10"/>
    </row>
    <row r="28" ht="15.75" customHeight="1">
      <c r="A28" s="562"/>
      <c r="C28" s="98" t="s">
        <v>651</v>
      </c>
      <c r="D28" s="98" t="s">
        <v>210</v>
      </c>
      <c r="E28" s="98" t="s">
        <v>206</v>
      </c>
    </row>
    <row r="29" ht="15.75" customHeight="1">
      <c r="A29" s="563">
        <v>2018.0</v>
      </c>
      <c r="B29" s="564" t="s">
        <v>652</v>
      </c>
      <c r="C29" s="565">
        <v>5126.2</v>
      </c>
      <c r="D29" s="566">
        <v>2858.6</v>
      </c>
      <c r="E29" s="567">
        <v>2267.6</v>
      </c>
    </row>
    <row r="30" ht="15.75" customHeight="1">
      <c r="A30" s="399"/>
      <c r="B30" s="145" t="s">
        <v>653</v>
      </c>
      <c r="C30" s="568">
        <v>5137.1</v>
      </c>
      <c r="D30" s="557">
        <v>2861.4</v>
      </c>
      <c r="E30" s="569">
        <v>2275.7</v>
      </c>
    </row>
    <row r="31" ht="15.75" customHeight="1">
      <c r="A31" s="399"/>
      <c r="B31" s="145" t="s">
        <v>654</v>
      </c>
      <c r="C31" s="568">
        <v>5143.0</v>
      </c>
      <c r="D31" s="557">
        <v>2867.1</v>
      </c>
      <c r="E31" s="569">
        <v>2275.8</v>
      </c>
    </row>
    <row r="32" ht="15.75" customHeight="1">
      <c r="A32" s="399"/>
      <c r="B32" s="145" t="s">
        <v>655</v>
      </c>
      <c r="C32" s="568">
        <v>5149.9</v>
      </c>
      <c r="D32" s="557">
        <v>2866.1</v>
      </c>
      <c r="E32" s="569">
        <v>2283.7</v>
      </c>
    </row>
    <row r="33" ht="15.75" customHeight="1">
      <c r="A33" s="399"/>
      <c r="B33" s="145" t="s">
        <v>656</v>
      </c>
      <c r="C33" s="568">
        <v>5136.4</v>
      </c>
      <c r="D33" s="557">
        <v>2862.7</v>
      </c>
      <c r="E33" s="569">
        <v>2273.8</v>
      </c>
    </row>
    <row r="34" ht="15.75" customHeight="1">
      <c r="A34" s="399"/>
      <c r="B34" s="145" t="s">
        <v>657</v>
      </c>
      <c r="C34" s="568">
        <v>5137.3</v>
      </c>
      <c r="D34" s="557">
        <v>2856.2</v>
      </c>
      <c r="E34" s="569">
        <v>2281.1</v>
      </c>
    </row>
    <row r="35" ht="15.75" customHeight="1">
      <c r="A35" s="399"/>
      <c r="B35" s="145" t="s">
        <v>658</v>
      </c>
      <c r="C35" s="568">
        <v>5131.5</v>
      </c>
      <c r="D35" s="557">
        <v>2853.5</v>
      </c>
      <c r="E35" s="569">
        <v>2277.9</v>
      </c>
    </row>
    <row r="36" ht="15.75" customHeight="1">
      <c r="A36" s="399"/>
      <c r="B36" s="145" t="s">
        <v>659</v>
      </c>
      <c r="C36" s="568">
        <v>5152.0</v>
      </c>
      <c r="D36" s="557">
        <v>2859.0</v>
      </c>
      <c r="E36" s="569">
        <v>2293.1</v>
      </c>
    </row>
    <row r="37" ht="15.75" customHeight="1">
      <c r="A37" s="399"/>
      <c r="B37" s="145" t="s">
        <v>660</v>
      </c>
      <c r="C37" s="568">
        <v>5149.9</v>
      </c>
      <c r="D37" s="557">
        <v>2854.1</v>
      </c>
      <c r="E37" s="569">
        <v>2295.8</v>
      </c>
    </row>
    <row r="38" ht="15.75" customHeight="1">
      <c r="A38" s="399"/>
      <c r="B38" s="145" t="s">
        <v>661</v>
      </c>
      <c r="C38" s="568">
        <v>5159.6</v>
      </c>
      <c r="D38" s="557">
        <v>2861.4</v>
      </c>
      <c r="E38" s="569">
        <v>2298.2</v>
      </c>
    </row>
    <row r="39" ht="15.75" customHeight="1">
      <c r="A39" s="399"/>
      <c r="B39" s="145" t="s">
        <v>662</v>
      </c>
      <c r="C39" s="568">
        <v>5164.8</v>
      </c>
      <c r="D39" s="557">
        <v>2868.1</v>
      </c>
      <c r="E39" s="569">
        <v>2296.7</v>
      </c>
    </row>
    <row r="40" ht="15.75" customHeight="1">
      <c r="A40" s="570"/>
      <c r="B40" s="571" t="s">
        <v>663</v>
      </c>
      <c r="C40" s="572">
        <v>5168.8</v>
      </c>
      <c r="D40" s="573">
        <v>2871.3</v>
      </c>
      <c r="E40" s="574">
        <v>2297.5</v>
      </c>
    </row>
    <row r="41" ht="15.75" customHeight="1">
      <c r="A41" s="14"/>
      <c r="B41" s="14" t="s">
        <v>504</v>
      </c>
      <c r="C41" s="14"/>
      <c r="D41" s="149">
        <f t="shared" ref="D41:E41" si="17">AVERAGE(D29:D40)</f>
        <v>2861.625</v>
      </c>
      <c r="E41" s="149">
        <f t="shared" si="17"/>
        <v>2284.741667</v>
      </c>
    </row>
    <row r="42" ht="15.75" customHeight="1"/>
    <row r="43" ht="15.75" customHeight="1">
      <c r="A43" s="554" t="s">
        <v>664</v>
      </c>
      <c r="B43" s="561" t="s">
        <v>665</v>
      </c>
      <c r="C43" s="90"/>
      <c r="D43" s="10"/>
    </row>
    <row r="44" ht="15.75" customHeight="1">
      <c r="A44" s="377">
        <v>2018.0</v>
      </c>
      <c r="B44" s="14" t="s">
        <v>409</v>
      </c>
      <c r="C44" s="14" t="s">
        <v>410</v>
      </c>
      <c r="D44" s="557" t="s">
        <v>68</v>
      </c>
    </row>
    <row r="45" ht="15.75" customHeight="1">
      <c r="A45" s="14" t="s">
        <v>666</v>
      </c>
      <c r="B45" s="377">
        <v>2862.0</v>
      </c>
      <c r="C45" s="377">
        <v>2285.0</v>
      </c>
      <c r="D45" s="557">
        <f t="shared" ref="D45:D46" si="18">SUM(B45:C45)</f>
        <v>5147</v>
      </c>
    </row>
    <row r="46" ht="15.75" customHeight="1">
      <c r="A46" s="14" t="s">
        <v>510</v>
      </c>
      <c r="B46" s="377">
        <v>161.0</v>
      </c>
      <c r="C46" s="377">
        <v>116.0</v>
      </c>
      <c r="D46" s="557">
        <f t="shared" si="18"/>
        <v>277</v>
      </c>
    </row>
    <row r="47" ht="15.75" customHeight="1">
      <c r="A47" s="198" t="s">
        <v>412</v>
      </c>
      <c r="B47" s="377">
        <f t="shared" ref="B47:D47" si="19">B45-B46</f>
        <v>2701</v>
      </c>
      <c r="C47" s="377">
        <f t="shared" si="19"/>
        <v>2169</v>
      </c>
      <c r="D47" s="377">
        <f t="shared" si="19"/>
        <v>4870</v>
      </c>
    </row>
    <row r="48" ht="15.75" customHeight="1"/>
    <row r="49" ht="15.75" customHeight="1">
      <c r="A49" s="94" t="s">
        <v>488</v>
      </c>
      <c r="B49" s="20" t="s">
        <v>667</v>
      </c>
      <c r="C49" s="575" t="s">
        <v>668</v>
      </c>
      <c r="D49" s="20" t="s">
        <v>669</v>
      </c>
    </row>
    <row r="50" ht="15.75" customHeight="1">
      <c r="A50" s="576" t="s">
        <v>670</v>
      </c>
      <c r="B50" s="20">
        <v>0.02</v>
      </c>
      <c r="C50" s="575">
        <v>0.04</v>
      </c>
      <c r="D50" s="20">
        <v>0.06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7">
    <mergeCell ref="A1:D1"/>
    <mergeCell ref="E1:F1"/>
    <mergeCell ref="G1:H1"/>
    <mergeCell ref="I11:J11"/>
    <mergeCell ref="A27:B28"/>
    <mergeCell ref="C27:E27"/>
    <mergeCell ref="B43:D43"/>
  </mergeCells>
  <hyperlinks>
    <hyperlink r:id="rId1" ref="I20"/>
    <hyperlink r:id="rId2" ref="G23"/>
    <hyperlink r:id="rId3" ref="A43"/>
    <hyperlink r:id="rId4" location="gid=1307691453" ref="A49"/>
  </hyperlinks>
  <printOptions/>
  <pageMargins bottom="0.787401575" footer="0.0" header="0.0" left="0.7" right="0.7" top="0.787401575"/>
  <pageSetup orientation="landscape"/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26" width="11.25"/>
  </cols>
  <sheetData>
    <row r="1" ht="15.75" customHeight="1">
      <c r="A1" s="14" t="s">
        <v>671</v>
      </c>
      <c r="F1" s="577" t="s">
        <v>672</v>
      </c>
      <c r="H1" s="14" t="s">
        <v>673</v>
      </c>
    </row>
    <row r="2" ht="15.75" customHeight="1">
      <c r="A2" s="14" t="s">
        <v>674</v>
      </c>
      <c r="B2" s="198"/>
      <c r="C2" s="198"/>
      <c r="D2" s="198"/>
      <c r="E2" s="198"/>
      <c r="F2" s="198"/>
      <c r="G2" s="198"/>
      <c r="H2" s="14" t="s">
        <v>675</v>
      </c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</row>
    <row r="3" ht="15.75" customHeight="1">
      <c r="A3" s="14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4"/>
    </row>
    <row r="4" ht="15.75" customHeight="1">
      <c r="A4" s="578" t="s">
        <v>387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268"/>
      <c r="Y4" s="268"/>
      <c r="Z4" s="268"/>
    </row>
    <row r="5" ht="15.75" customHeight="1">
      <c r="A5" s="14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4"/>
    </row>
    <row r="6" ht="15.75" customHeight="1">
      <c r="A6" s="580" t="s">
        <v>676</v>
      </c>
      <c r="B6" s="581"/>
      <c r="C6" s="582" t="s">
        <v>288</v>
      </c>
      <c r="D6" s="582" t="s">
        <v>405</v>
      </c>
      <c r="E6" s="583" t="s">
        <v>292</v>
      </c>
      <c r="F6" s="583" t="s">
        <v>294</v>
      </c>
      <c r="G6" s="582" t="s">
        <v>296</v>
      </c>
      <c r="H6" s="583" t="s">
        <v>298</v>
      </c>
      <c r="I6" s="582" t="s">
        <v>300</v>
      </c>
      <c r="J6" s="583" t="s">
        <v>89</v>
      </c>
      <c r="K6" s="582" t="s">
        <v>303</v>
      </c>
      <c r="L6" s="583" t="s">
        <v>305</v>
      </c>
      <c r="M6" s="582" t="s">
        <v>307</v>
      </c>
      <c r="N6" s="583" t="s">
        <v>406</v>
      </c>
      <c r="O6" s="582" t="s">
        <v>311</v>
      </c>
      <c r="P6" s="583" t="s">
        <v>313</v>
      </c>
      <c r="Q6" s="582" t="s">
        <v>315</v>
      </c>
      <c r="R6" s="583" t="s">
        <v>407</v>
      </c>
      <c r="S6" s="582" t="s">
        <v>319</v>
      </c>
      <c r="T6" s="583" t="s">
        <v>321</v>
      </c>
      <c r="U6" s="582" t="s">
        <v>323</v>
      </c>
      <c r="V6" s="584" t="s">
        <v>408</v>
      </c>
    </row>
    <row r="7" ht="15.75" customHeight="1">
      <c r="A7" s="585"/>
      <c r="B7" s="35" t="s">
        <v>677</v>
      </c>
      <c r="C7" s="557">
        <v>1.43</v>
      </c>
      <c r="D7" s="557">
        <v>2.81</v>
      </c>
      <c r="E7" s="557">
        <v>6.74</v>
      </c>
      <c r="F7" s="557">
        <v>1.72</v>
      </c>
      <c r="G7" s="37" t="s">
        <v>70</v>
      </c>
      <c r="H7" s="557">
        <v>1.26</v>
      </c>
      <c r="I7" s="557">
        <v>1.51</v>
      </c>
      <c r="J7" s="149">
        <v>1.0</v>
      </c>
      <c r="K7" s="557">
        <v>1.43</v>
      </c>
      <c r="L7" s="557">
        <v>4.2</v>
      </c>
      <c r="M7" s="557">
        <v>3.51</v>
      </c>
      <c r="N7" s="37" t="s">
        <v>70</v>
      </c>
      <c r="O7" s="557">
        <v>1.82</v>
      </c>
      <c r="P7" s="37" t="s">
        <v>70</v>
      </c>
      <c r="Q7" s="557">
        <v>2.29</v>
      </c>
      <c r="R7" s="557">
        <v>1.95</v>
      </c>
      <c r="S7" s="37" t="s">
        <v>70</v>
      </c>
      <c r="T7" s="557">
        <v>1.47</v>
      </c>
      <c r="U7" s="557">
        <v>1.79</v>
      </c>
      <c r="V7" s="569">
        <v>1.84</v>
      </c>
    </row>
    <row r="8" ht="15.75" customHeight="1">
      <c r="A8" s="586"/>
      <c r="B8" s="41" t="s">
        <v>678</v>
      </c>
      <c r="C8" s="279">
        <v>39.0</v>
      </c>
      <c r="D8" s="279">
        <v>43.0</v>
      </c>
      <c r="E8" s="279" t="s">
        <v>679</v>
      </c>
      <c r="F8" s="279">
        <v>34.0</v>
      </c>
      <c r="G8" s="279">
        <v>10.0</v>
      </c>
      <c r="H8" s="279" t="s">
        <v>680</v>
      </c>
      <c r="I8" s="279" t="s">
        <v>681</v>
      </c>
      <c r="J8" s="279" t="s">
        <v>682</v>
      </c>
      <c r="K8" s="279" t="s">
        <v>683</v>
      </c>
      <c r="L8" s="279">
        <v>42.0</v>
      </c>
      <c r="M8" s="279">
        <v>35.0</v>
      </c>
      <c r="N8" s="279" t="s">
        <v>684</v>
      </c>
      <c r="O8" s="279" t="s">
        <v>685</v>
      </c>
      <c r="P8" s="279" t="s">
        <v>686</v>
      </c>
      <c r="Q8" s="279" t="s">
        <v>687</v>
      </c>
      <c r="R8" s="587">
        <v>43480.0</v>
      </c>
      <c r="S8" s="588">
        <v>45158.0</v>
      </c>
      <c r="T8" s="279" t="s">
        <v>688</v>
      </c>
      <c r="U8" s="279">
        <v>36.0</v>
      </c>
      <c r="V8" s="280">
        <v>33.0</v>
      </c>
    </row>
    <row r="9" ht="15.75" customHeight="1">
      <c r="A9" s="589" t="s">
        <v>573</v>
      </c>
      <c r="B9" s="590">
        <v>0.03</v>
      </c>
      <c r="C9" s="591">
        <f t="shared" ref="C9:F9" si="1">($B9*(C$7-1))/($B9*(C$7-1)+1)</f>
        <v>0.01273570935</v>
      </c>
      <c r="D9" s="591">
        <f t="shared" si="1"/>
        <v>0.05150336716</v>
      </c>
      <c r="E9" s="591">
        <f t="shared" si="1"/>
        <v>0.1469032588</v>
      </c>
      <c r="F9" s="591">
        <f t="shared" si="1"/>
        <v>0.02114330462</v>
      </c>
      <c r="G9" s="591"/>
      <c r="H9" s="591">
        <f t="shared" ref="H9:I9" si="2">($B9*(H$7-1))/($B9*(H$7-1)+1)</f>
        <v>0.007739630879</v>
      </c>
      <c r="I9" s="591">
        <f t="shared" si="2"/>
        <v>0.0150694376</v>
      </c>
      <c r="J9" s="149">
        <v>1.0</v>
      </c>
      <c r="K9" s="591">
        <f t="shared" ref="K9:M9" si="3">($B9*(K$7-1))/($B9*(K$7-1)+1)</f>
        <v>0.01273570935</v>
      </c>
      <c r="L9" s="591">
        <f t="shared" si="3"/>
        <v>0.08759124088</v>
      </c>
      <c r="M9" s="591">
        <f t="shared" si="3"/>
        <v>0.07002696922</v>
      </c>
      <c r="N9" s="591"/>
      <c r="O9" s="591">
        <f t="shared" ref="O9:O25" si="9">($B9*(O$7-1))/($B9*(O$7-1)+1)</f>
        <v>0.02400936951</v>
      </c>
      <c r="P9" s="591"/>
      <c r="Q9" s="591">
        <f t="shared" ref="Q9:R9" si="4">($B9*(Q$7-1))/($B9*(Q$7-1)+1)</f>
        <v>0.0372581111</v>
      </c>
      <c r="R9" s="591">
        <f t="shared" si="4"/>
        <v>0.02771025766</v>
      </c>
      <c r="S9" s="591"/>
      <c r="T9" s="591">
        <f t="shared" ref="T9:V9" si="5">($B9*(T$7-1))/($B9*(T$7-1)+1)</f>
        <v>0.01390395425</v>
      </c>
      <c r="U9" s="591">
        <f t="shared" si="5"/>
        <v>0.02315131386</v>
      </c>
      <c r="V9" s="592">
        <f t="shared" si="5"/>
        <v>0.02458056964</v>
      </c>
    </row>
    <row r="10" ht="15.75" customHeight="1">
      <c r="A10" s="589" t="s">
        <v>574</v>
      </c>
      <c r="B10" s="590">
        <v>0.08</v>
      </c>
      <c r="C10" s="591">
        <f t="shared" ref="C10:F10" si="6">($B10*(C$7-1))/($B10*(C$7-1)+1)</f>
        <v>0.03325599381</v>
      </c>
      <c r="D10" s="591">
        <f t="shared" si="6"/>
        <v>0.1264849755</v>
      </c>
      <c r="E10" s="591">
        <f t="shared" si="6"/>
        <v>0.3146929825</v>
      </c>
      <c r="F10" s="591">
        <f t="shared" si="6"/>
        <v>0.05446293495</v>
      </c>
      <c r="G10" s="591"/>
      <c r="H10" s="591">
        <f t="shared" ref="H10:I10" si="7">($B10*(H$7-1))/($B10*(H$7-1)+1)</f>
        <v>0.02037617555</v>
      </c>
      <c r="I10" s="591">
        <f t="shared" si="7"/>
        <v>0.03920061491</v>
      </c>
      <c r="J10" s="149">
        <v>1.0</v>
      </c>
      <c r="K10" s="591">
        <f t="shared" ref="K10:M10" si="8">($B10*(K$7-1))/($B10*(K$7-1)+1)</f>
        <v>0.03325599381</v>
      </c>
      <c r="L10" s="591">
        <f t="shared" si="8"/>
        <v>0.2038216561</v>
      </c>
      <c r="M10" s="591">
        <f t="shared" si="8"/>
        <v>0.1672218521</v>
      </c>
      <c r="N10" s="591"/>
      <c r="O10" s="591">
        <f t="shared" si="9"/>
        <v>0.06156156156</v>
      </c>
      <c r="P10" s="591"/>
      <c r="Q10" s="591">
        <f t="shared" ref="Q10:R10" si="10">($B10*(Q$7-1))/($B10*(Q$7-1)+1)</f>
        <v>0.09354604786</v>
      </c>
      <c r="R10" s="591">
        <f t="shared" si="10"/>
        <v>0.07063197026</v>
      </c>
      <c r="S10" s="591"/>
      <c r="T10" s="591">
        <f t="shared" ref="T10:V10" si="11">($B10*(T$7-1))/($B10*(T$7-1)+1)</f>
        <v>0.03623747109</v>
      </c>
      <c r="U10" s="591">
        <f t="shared" si="11"/>
        <v>0.05944319037</v>
      </c>
      <c r="V10" s="592">
        <f t="shared" si="11"/>
        <v>0.06296851574</v>
      </c>
    </row>
    <row r="11" ht="15.75" customHeight="1">
      <c r="A11" s="589" t="s">
        <v>575</v>
      </c>
      <c r="B11" s="590">
        <v>0.1245</v>
      </c>
      <c r="C11" s="591">
        <f t="shared" ref="C11:F11" si="12">($B11*(C$7-1))/($B11*(C$7-1)+1)</f>
        <v>0.05081463834</v>
      </c>
      <c r="D11" s="591">
        <f t="shared" si="12"/>
        <v>0.1839033089</v>
      </c>
      <c r="E11" s="591">
        <f t="shared" si="12"/>
        <v>0.4167837959</v>
      </c>
      <c r="F11" s="591">
        <f t="shared" si="12"/>
        <v>0.08226570243</v>
      </c>
      <c r="G11" s="591"/>
      <c r="H11" s="591">
        <f t="shared" ref="H11:I11" si="13">($B11*(H$7-1))/($B11*(H$7-1)+1)</f>
        <v>0.03135503744</v>
      </c>
      <c r="I11" s="591">
        <f t="shared" si="13"/>
        <v>0.05970408888</v>
      </c>
      <c r="J11" s="149">
        <v>1.0</v>
      </c>
      <c r="K11" s="591">
        <f t="shared" ref="K11:M11" si="14">($B11*(K$7-1))/($B11*(K$7-1)+1)</f>
        <v>0.05081463834</v>
      </c>
      <c r="L11" s="591">
        <f t="shared" si="14"/>
        <v>0.2848970252</v>
      </c>
      <c r="M11" s="591">
        <f t="shared" si="14"/>
        <v>0.2380923356</v>
      </c>
      <c r="N11" s="591"/>
      <c r="O11" s="591">
        <f t="shared" si="9"/>
        <v>0.09263308804</v>
      </c>
      <c r="P11" s="591"/>
      <c r="Q11" s="591">
        <f t="shared" ref="Q11:R11" si="15">($B11*(Q$7-1))/($B11*(Q$7-1)+1)</f>
        <v>0.1383804137</v>
      </c>
      <c r="R11" s="591">
        <f t="shared" si="15"/>
        <v>0.1057655764</v>
      </c>
      <c r="S11" s="591"/>
      <c r="T11" s="591">
        <f t="shared" ref="T11:V11" si="16">($B11*(T$7-1))/($B11*(T$7-1)+1)</f>
        <v>0.05528027472</v>
      </c>
      <c r="U11" s="591">
        <f t="shared" si="16"/>
        <v>0.08954755066</v>
      </c>
      <c r="V11" s="592">
        <f t="shared" si="16"/>
        <v>0.09467852034</v>
      </c>
    </row>
    <row r="12" ht="15.75" customHeight="1">
      <c r="A12" s="589" t="s">
        <v>417</v>
      </c>
      <c r="B12" s="590">
        <v>0.044000000000000004</v>
      </c>
      <c r="C12" s="591">
        <f t="shared" ref="C12:F12" si="17">($B12*(C$7-1))/($B12*(C$7-1)+1)</f>
        <v>0.01856868056</v>
      </c>
      <c r="D12" s="591">
        <f t="shared" si="17"/>
        <v>0.07376532918</v>
      </c>
      <c r="E12" s="591">
        <f t="shared" si="17"/>
        <v>0.2016350514</v>
      </c>
      <c r="F12" s="591">
        <f t="shared" si="17"/>
        <v>0.03070719603</v>
      </c>
      <c r="G12" s="591"/>
      <c r="H12" s="591">
        <f t="shared" ref="H12:I12" si="18">($B12*(H$7-1))/($B12*(H$7-1)+1)</f>
        <v>0.01131060666</v>
      </c>
      <c r="I12" s="591">
        <f t="shared" si="18"/>
        <v>0.02194749814</v>
      </c>
      <c r="J12" s="149">
        <v>1.0</v>
      </c>
      <c r="K12" s="591">
        <f t="shared" ref="K12:M12" si="19">($B12*(K$7-1))/($B12*(K$7-1)+1)</f>
        <v>0.01856868056</v>
      </c>
      <c r="L12" s="591">
        <f t="shared" si="19"/>
        <v>0.1234221599</v>
      </c>
      <c r="M12" s="591">
        <f t="shared" si="19"/>
        <v>0.09945607147</v>
      </c>
      <c r="N12" s="591"/>
      <c r="O12" s="591">
        <f t="shared" si="9"/>
        <v>0.03482356575</v>
      </c>
      <c r="P12" s="591"/>
      <c r="Q12" s="591">
        <f t="shared" ref="Q12:R12" si="20">($B12*(Q$7-1))/($B12*(Q$7-1)+1)</f>
        <v>0.05371134411</v>
      </c>
      <c r="R12" s="591">
        <f t="shared" si="20"/>
        <v>0.04012286427</v>
      </c>
      <c r="S12" s="591"/>
      <c r="T12" s="591">
        <f t="shared" ref="T12:V12" si="21">($B12*(T$7-1))/($B12*(T$7-1)+1)</f>
        <v>0.02026100247</v>
      </c>
      <c r="U12" s="591">
        <f t="shared" si="21"/>
        <v>0.03359233059</v>
      </c>
      <c r="V12" s="592">
        <f t="shared" si="21"/>
        <v>0.03564264774</v>
      </c>
    </row>
    <row r="13" ht="15.75" customHeight="1">
      <c r="A13" s="589" t="s">
        <v>689</v>
      </c>
      <c r="B13" s="590">
        <v>0.07333333333333333</v>
      </c>
      <c r="C13" s="591">
        <f t="shared" ref="C13:F13" si="22">($B13*(C$7-1))/($B13*(C$7-1)+1)</f>
        <v>0.03056937892</v>
      </c>
      <c r="D13" s="591">
        <f t="shared" si="22"/>
        <v>0.1171796834</v>
      </c>
      <c r="E13" s="591">
        <f t="shared" si="22"/>
        <v>0.296237215</v>
      </c>
      <c r="F13" s="591">
        <f t="shared" si="22"/>
        <v>0.05015197568</v>
      </c>
      <c r="G13" s="591"/>
      <c r="H13" s="591">
        <f t="shared" ref="H13:I13" si="23">($B13*(H$7-1))/($B13*(H$7-1)+1)</f>
        <v>0.01870993066</v>
      </c>
      <c r="I13" s="591">
        <f t="shared" si="23"/>
        <v>0.03605166763</v>
      </c>
      <c r="J13" s="149">
        <v>1.0</v>
      </c>
      <c r="K13" s="591">
        <f t="shared" ref="K13:M13" si="24">($B13*(K$7-1))/($B13*(K$7-1)+1)</f>
        <v>0.03056937892</v>
      </c>
      <c r="L13" s="591">
        <f t="shared" si="24"/>
        <v>0.1900647948</v>
      </c>
      <c r="M13" s="591">
        <f t="shared" si="24"/>
        <v>0.1554529587</v>
      </c>
      <c r="N13" s="591"/>
      <c r="O13" s="591">
        <f t="shared" si="9"/>
        <v>0.05672242485</v>
      </c>
      <c r="P13" s="591"/>
      <c r="Q13" s="591">
        <f t="shared" ref="Q13:R13" si="25">($B13*(Q$7-1))/($B13*(Q$7-1)+1)</f>
        <v>0.08642426457</v>
      </c>
      <c r="R13" s="591">
        <f t="shared" si="25"/>
        <v>0.06512932378</v>
      </c>
      <c r="S13" s="591"/>
      <c r="T13" s="591">
        <f t="shared" ref="T13:V13" si="26">($B13*(T$7-1))/($B13*(T$7-1)+1)</f>
        <v>0.03331829606</v>
      </c>
      <c r="U13" s="591">
        <f t="shared" si="26"/>
        <v>0.0547608545</v>
      </c>
      <c r="V13" s="592">
        <f t="shared" si="26"/>
        <v>0.0580256217</v>
      </c>
    </row>
    <row r="14" ht="15.75" customHeight="1">
      <c r="A14" s="589" t="s">
        <v>391</v>
      </c>
      <c r="B14" s="590">
        <v>0.11516666666666665</v>
      </c>
      <c r="C14" s="591">
        <f t="shared" ref="C14:F14" si="27">($B14*(C$7-1))/($B14*(C$7-1)+1)</f>
        <v>0.04718498745</v>
      </c>
      <c r="D14" s="591">
        <f t="shared" si="27"/>
        <v>0.1724948315</v>
      </c>
      <c r="E14" s="591">
        <f t="shared" si="27"/>
        <v>0.3979735791</v>
      </c>
      <c r="F14" s="591">
        <f t="shared" si="27"/>
        <v>0.07657075315</v>
      </c>
      <c r="G14" s="591"/>
      <c r="H14" s="591">
        <f t="shared" ref="H14:I14" si="28">($B14*(H$7-1))/($B14*(H$7-1)+1)</f>
        <v>0.02907279689</v>
      </c>
      <c r="I14" s="591">
        <f t="shared" si="28"/>
        <v>0.0554765829</v>
      </c>
      <c r="J14" s="149">
        <v>1.0</v>
      </c>
      <c r="K14" s="591">
        <f t="shared" ref="K14:M14" si="29">($B14*(K$7-1))/($B14*(K$7-1)+1)</f>
        <v>0.04718498745</v>
      </c>
      <c r="L14" s="591">
        <f t="shared" si="29"/>
        <v>0.2692907249</v>
      </c>
      <c r="M14" s="591">
        <f t="shared" si="29"/>
        <v>0.2242459347</v>
      </c>
      <c r="N14" s="591"/>
      <c r="O14" s="591">
        <f t="shared" si="9"/>
        <v>0.08628792286</v>
      </c>
      <c r="P14" s="591"/>
      <c r="Q14" s="591">
        <f t="shared" ref="Q14:R14" si="30">($B14*(Q$7-1))/($B14*(Q$7-1)+1)</f>
        <v>0.1293483608</v>
      </c>
      <c r="R14" s="591">
        <f t="shared" si="30"/>
        <v>0.09861863306</v>
      </c>
      <c r="S14" s="591"/>
      <c r="T14" s="591">
        <f t="shared" ref="T14:V14" si="31">($B14*(T$7-1))/($B14*(T$7-1)+1)</f>
        <v>0.05134890281</v>
      </c>
      <c r="U14" s="591">
        <f t="shared" si="31"/>
        <v>0.08339431307</v>
      </c>
      <c r="V14" s="592">
        <f t="shared" si="31"/>
        <v>0.08820686763</v>
      </c>
    </row>
    <row r="15" ht="15.75" customHeight="1">
      <c r="A15" s="589" t="s">
        <v>392</v>
      </c>
      <c r="B15" s="590">
        <v>0.16349999999999998</v>
      </c>
      <c r="C15" s="591">
        <f t="shared" ref="C15:F15" si="32">($B15*(C$7-1))/($B15*(C$7-1)+1)</f>
        <v>0.06568688365</v>
      </c>
      <c r="D15" s="591">
        <f t="shared" si="32"/>
        <v>0.2283563605</v>
      </c>
      <c r="E15" s="591">
        <f t="shared" si="32"/>
        <v>0.4841345583</v>
      </c>
      <c r="F15" s="591">
        <f t="shared" si="32"/>
        <v>0.1053215474</v>
      </c>
      <c r="G15" s="591"/>
      <c r="H15" s="591">
        <f t="shared" ref="H15:I15" si="33">($B15*(H$7-1))/($B15*(H$7-1)+1)</f>
        <v>0.04077658727</v>
      </c>
      <c r="I15" s="591">
        <f t="shared" si="33"/>
        <v>0.07696709849</v>
      </c>
      <c r="J15" s="149">
        <v>1.0</v>
      </c>
      <c r="K15" s="591">
        <f t="shared" ref="K15:M15" si="34">($B15*(K$7-1))/($B15*(K$7-1)+1)</f>
        <v>0.06568688365</v>
      </c>
      <c r="L15" s="591">
        <f t="shared" si="34"/>
        <v>0.343487395</v>
      </c>
      <c r="M15" s="591">
        <f t="shared" si="34"/>
        <v>0.2909737412</v>
      </c>
      <c r="N15" s="591"/>
      <c r="O15" s="591">
        <f t="shared" si="9"/>
        <v>0.1182202157</v>
      </c>
      <c r="P15" s="591"/>
      <c r="Q15" s="591">
        <f t="shared" ref="Q15:R15" si="35">($B15*(Q$7-1))/($B15*(Q$7-1)+1)</f>
        <v>0.1741782041</v>
      </c>
      <c r="R15" s="591">
        <f t="shared" si="35"/>
        <v>0.1344426893</v>
      </c>
      <c r="S15" s="591"/>
      <c r="T15" s="591">
        <f t="shared" ref="T15:V15" si="36">($B15*(T$7-1))/($B15*(T$7-1)+1)</f>
        <v>0.07136124512</v>
      </c>
      <c r="U15" s="591">
        <f t="shared" si="36"/>
        <v>0.1143898367</v>
      </c>
      <c r="V15" s="592">
        <f t="shared" si="36"/>
        <v>0.1207554469</v>
      </c>
    </row>
    <row r="16" ht="15.75" customHeight="1">
      <c r="A16" s="589" t="s">
        <v>393</v>
      </c>
      <c r="B16" s="590">
        <v>0.228</v>
      </c>
      <c r="C16" s="591">
        <f t="shared" ref="C16:F16" si="37">($B16*(C$7-1))/($B16*(C$7-1)+1)</f>
        <v>0.0892863648</v>
      </c>
      <c r="D16" s="591">
        <f t="shared" si="37"/>
        <v>0.2921256052</v>
      </c>
      <c r="E16" s="591">
        <f t="shared" si="37"/>
        <v>0.5668595585</v>
      </c>
      <c r="F16" s="591">
        <f t="shared" si="37"/>
        <v>0.1410115448</v>
      </c>
      <c r="G16" s="591"/>
      <c r="H16" s="591">
        <f t="shared" ref="H16:I16" si="38">($B16*(H$7-1))/($B16*(H$7-1)+1)</f>
        <v>0.05596254059</v>
      </c>
      <c r="I16" s="591">
        <f t="shared" si="38"/>
        <v>0.1041674132</v>
      </c>
      <c r="J16" s="149">
        <v>1.0</v>
      </c>
      <c r="K16" s="591">
        <f t="shared" ref="K16:M16" si="39">($B16*(K$7-1))/($B16*(K$7-1)+1)</f>
        <v>0.0892863648</v>
      </c>
      <c r="L16" s="591">
        <f t="shared" si="39"/>
        <v>0.4218316374</v>
      </c>
      <c r="M16" s="591">
        <f t="shared" si="39"/>
        <v>0.3639809703</v>
      </c>
      <c r="N16" s="591"/>
      <c r="O16" s="591">
        <f t="shared" si="9"/>
        <v>0.1575116263</v>
      </c>
      <c r="P16" s="591"/>
      <c r="Q16" s="591">
        <f t="shared" ref="Q16:R16" si="40">($B16*(Q$7-1))/($B16*(Q$7-1)+1)</f>
        <v>0.2272741322</v>
      </c>
      <c r="R16" s="591">
        <f t="shared" si="40"/>
        <v>0.1780371527</v>
      </c>
      <c r="S16" s="591"/>
      <c r="T16" s="591">
        <f t="shared" ref="T16:V16" si="41">($B16*(T$7-1))/($B16*(T$7-1)+1)</f>
        <v>0.09678817876</v>
      </c>
      <c r="U16" s="591">
        <f t="shared" si="41"/>
        <v>0.1526285462</v>
      </c>
      <c r="V16" s="592">
        <f t="shared" si="41"/>
        <v>0.1607358668</v>
      </c>
    </row>
    <row r="17" ht="15.75" customHeight="1">
      <c r="A17" s="589" t="s">
        <v>394</v>
      </c>
      <c r="B17" s="590">
        <v>0.27166666666666667</v>
      </c>
      <c r="C17" s="591">
        <f t="shared" ref="C17:F17" si="42">($B17*(C$7-1))/($B17*(C$7-1)+1)</f>
        <v>0.1045978898</v>
      </c>
      <c r="D17" s="591">
        <f t="shared" si="42"/>
        <v>0.329631409</v>
      </c>
      <c r="E17" s="591">
        <f t="shared" si="42"/>
        <v>0.6092783371</v>
      </c>
      <c r="F17" s="591">
        <f t="shared" si="42"/>
        <v>0.1635998662</v>
      </c>
      <c r="G17" s="591"/>
      <c r="H17" s="591">
        <f t="shared" ref="H17:I17" si="43">($B17*(H$7-1))/($B17*(H$7-1)+1)</f>
        <v>0.06597341138</v>
      </c>
      <c r="I17" s="591">
        <f t="shared" si="43"/>
        <v>0.1216898687</v>
      </c>
      <c r="J17" s="149">
        <v>1.0</v>
      </c>
      <c r="K17" s="591">
        <f t="shared" ref="K17:M17" si="44">($B17*(K$7-1))/($B17*(K$7-1)+1)</f>
        <v>0.1045978898</v>
      </c>
      <c r="L17" s="591">
        <f t="shared" si="44"/>
        <v>0.4650499287</v>
      </c>
      <c r="M17" s="591">
        <f t="shared" si="44"/>
        <v>0.4054284384</v>
      </c>
      <c r="N17" s="591"/>
      <c r="O17" s="591">
        <f t="shared" si="9"/>
        <v>0.1821824823</v>
      </c>
      <c r="P17" s="591"/>
      <c r="Q17" s="591">
        <f t="shared" ref="Q17:R17" si="45">($B17*(Q$7-1))/($B17*(Q$7-1)+1)</f>
        <v>0.2595060906</v>
      </c>
      <c r="R17" s="591">
        <f t="shared" si="45"/>
        <v>0.2051400941</v>
      </c>
      <c r="S17" s="591"/>
      <c r="T17" s="591">
        <f t="shared" ref="T17:V17" si="46">($B17*(T$7-1))/($B17*(T$7-1)+1)</f>
        <v>0.1132262308</v>
      </c>
      <c r="U17" s="591">
        <f t="shared" si="46"/>
        <v>0.1766949792</v>
      </c>
      <c r="V17" s="592">
        <f t="shared" si="46"/>
        <v>0.1858003582</v>
      </c>
    </row>
    <row r="18" ht="15.75" customHeight="1">
      <c r="A18" s="589" t="s">
        <v>395</v>
      </c>
      <c r="B18" s="590">
        <v>0.3158333333333333</v>
      </c>
      <c r="C18" s="591">
        <f t="shared" ref="C18:F18" si="47">($B18*(C$7-1))/($B18*(C$7-1)+1)</f>
        <v>0.1195697631</v>
      </c>
      <c r="D18" s="591">
        <f t="shared" si="47"/>
        <v>0.3637293941</v>
      </c>
      <c r="E18" s="591">
        <f t="shared" si="47"/>
        <v>0.6444928987</v>
      </c>
      <c r="F18" s="591">
        <f t="shared" si="47"/>
        <v>0.1852696757</v>
      </c>
      <c r="G18" s="591"/>
      <c r="H18" s="591">
        <f t="shared" ref="H18:I18" si="48">($B18*(H$7-1))/($B18*(H$7-1)+1)</f>
        <v>0.07588522494</v>
      </c>
      <c r="I18" s="591">
        <f t="shared" si="48"/>
        <v>0.1387291949</v>
      </c>
      <c r="J18" s="149">
        <v>1.0</v>
      </c>
      <c r="K18" s="591">
        <f t="shared" ref="K18:M18" si="49">($B18*(K$7-1))/($B18*(K$7-1)+1)</f>
        <v>0.1195697631</v>
      </c>
      <c r="L18" s="591">
        <f t="shared" si="49"/>
        <v>0.5026525199</v>
      </c>
      <c r="M18" s="591">
        <f t="shared" si="49"/>
        <v>0.442195148</v>
      </c>
      <c r="N18" s="591"/>
      <c r="O18" s="591">
        <f t="shared" si="9"/>
        <v>0.2057083096</v>
      </c>
      <c r="P18" s="591"/>
      <c r="Q18" s="591">
        <f t="shared" ref="Q18:R18" si="50">($B18*(Q$7-1))/($B18*(Q$7-1)+1)</f>
        <v>0.2894825657</v>
      </c>
      <c r="R18" s="591">
        <f t="shared" si="50"/>
        <v>0.2307938848</v>
      </c>
      <c r="S18" s="591"/>
      <c r="T18" s="591">
        <f t="shared" ref="T18:V18" si="51">($B18*(T$7-1))/($B18*(T$7-1)+1)</f>
        <v>0.1292548598</v>
      </c>
      <c r="U18" s="591">
        <f t="shared" si="51"/>
        <v>0.1996852095</v>
      </c>
      <c r="V18" s="592">
        <f t="shared" si="51"/>
        <v>0.2096735952</v>
      </c>
    </row>
    <row r="19" ht="15.75" customHeight="1">
      <c r="A19" s="589" t="s">
        <v>396</v>
      </c>
      <c r="B19" s="590">
        <v>0.36349999999999993</v>
      </c>
      <c r="C19" s="591">
        <f t="shared" ref="C19:F19" si="52">($B19*(C$7-1))/($B19*(C$7-1)+1)</f>
        <v>0.1351762727</v>
      </c>
      <c r="D19" s="591">
        <f t="shared" si="52"/>
        <v>0.396840045</v>
      </c>
      <c r="E19" s="591">
        <f t="shared" si="52"/>
        <v>0.6760073741</v>
      </c>
      <c r="F19" s="591">
        <f t="shared" si="52"/>
        <v>0.2074311258</v>
      </c>
      <c r="G19" s="591"/>
      <c r="H19" s="591">
        <f t="shared" ref="H19:I19" si="53">($B19*(H$7-1))/($B19*(H$7-1)+1)</f>
        <v>0.08634914254</v>
      </c>
      <c r="I19" s="591">
        <f t="shared" si="53"/>
        <v>0.156392227</v>
      </c>
      <c r="J19" s="149">
        <v>1.0</v>
      </c>
      <c r="K19" s="591">
        <f t="shared" ref="K19:M19" si="54">($B19*(K$7-1))/($B19*(K$7-1)+1)</f>
        <v>0.1351762727</v>
      </c>
      <c r="L19" s="591">
        <f t="shared" si="54"/>
        <v>0.5377218935</v>
      </c>
      <c r="M19" s="591">
        <f t="shared" si="54"/>
        <v>0.4770927402</v>
      </c>
      <c r="N19" s="591"/>
      <c r="O19" s="591">
        <f t="shared" si="9"/>
        <v>0.229625521</v>
      </c>
      <c r="P19" s="591"/>
      <c r="Q19" s="591">
        <f t="shared" ref="Q19:R19" si="55">($B19*(Q$7-1))/($B19*(Q$7-1)+1)</f>
        <v>0.3192254147</v>
      </c>
      <c r="R19" s="591">
        <f t="shared" si="55"/>
        <v>0.2566851876</v>
      </c>
      <c r="S19" s="591"/>
      <c r="T19" s="591">
        <f t="shared" ref="T19:V19" si="56">($B19*(T$7-1))/($B19*(T$7-1)+1)</f>
        <v>0.1459159838</v>
      </c>
      <c r="U19" s="591">
        <f t="shared" si="56"/>
        <v>0.2230988257</v>
      </c>
      <c r="V19" s="592">
        <f t="shared" si="56"/>
        <v>0.2339160678</v>
      </c>
    </row>
    <row r="20" ht="15.75" customHeight="1">
      <c r="A20" s="589" t="s">
        <v>397</v>
      </c>
      <c r="B20" s="590">
        <v>0.3685</v>
      </c>
      <c r="C20" s="591">
        <f t="shared" ref="C20:F20" si="57">($B20*(C$7-1))/($B20*(C$7-1)+1)</f>
        <v>0.1367813165</v>
      </c>
      <c r="D20" s="591">
        <f t="shared" si="57"/>
        <v>0.4001145781</v>
      </c>
      <c r="E20" s="591">
        <f t="shared" si="57"/>
        <v>0.6789922926</v>
      </c>
      <c r="F20" s="591">
        <f t="shared" si="57"/>
        <v>0.2096860873</v>
      </c>
      <c r="G20" s="591"/>
      <c r="H20" s="591">
        <f t="shared" ref="H20:I20" si="58">($B20*(H$7-1))/($B20*(H$7-1)+1)</f>
        <v>0.0874330404</v>
      </c>
      <c r="I20" s="591">
        <f t="shared" si="58"/>
        <v>0.1582031003</v>
      </c>
      <c r="J20" s="149">
        <v>1.0</v>
      </c>
      <c r="K20" s="591">
        <f t="shared" ref="K20:M20" si="59">($B20*(K$7-1))/($B20*(K$7-1)+1)</f>
        <v>0.1367813165</v>
      </c>
      <c r="L20" s="591">
        <f t="shared" si="59"/>
        <v>0.5411160059</v>
      </c>
      <c r="M20" s="591">
        <f t="shared" si="59"/>
        <v>0.480501939</v>
      </c>
      <c r="N20" s="591"/>
      <c r="O20" s="591">
        <f t="shared" si="9"/>
        <v>0.2320511147</v>
      </c>
      <c r="P20" s="591"/>
      <c r="Q20" s="591">
        <f t="shared" ref="Q20:R20" si="60">($B20*(Q$7-1))/($B20*(Q$7-1)+1)</f>
        <v>0.3222016247</v>
      </c>
      <c r="R20" s="591">
        <f t="shared" si="60"/>
        <v>0.2593004092</v>
      </c>
      <c r="S20" s="591"/>
      <c r="T20" s="591">
        <f t="shared" ref="T20:V20" si="61">($B20*(T$7-1))/($B20*(T$7-1)+1)</f>
        <v>0.1476267799</v>
      </c>
      <c r="U20" s="591">
        <f t="shared" si="61"/>
        <v>0.2254756548</v>
      </c>
      <c r="V20" s="592">
        <f t="shared" si="61"/>
        <v>0.2363730776</v>
      </c>
    </row>
    <row r="21" ht="15.75" customHeight="1">
      <c r="A21" s="589" t="s">
        <v>398</v>
      </c>
      <c r="B21" s="590">
        <v>0.3685</v>
      </c>
      <c r="C21" s="591">
        <f t="shared" ref="C21:F21" si="62">($B21*(C$7-1))/($B21*(C$7-1)+1)</f>
        <v>0.1367813165</v>
      </c>
      <c r="D21" s="591">
        <f t="shared" si="62"/>
        <v>0.4001145781</v>
      </c>
      <c r="E21" s="591">
        <f t="shared" si="62"/>
        <v>0.6789922926</v>
      </c>
      <c r="F21" s="591">
        <f t="shared" si="62"/>
        <v>0.2096860873</v>
      </c>
      <c r="G21" s="591"/>
      <c r="H21" s="591">
        <f t="shared" ref="H21:I21" si="63">($B21*(H$7-1))/($B21*(H$7-1)+1)</f>
        <v>0.0874330404</v>
      </c>
      <c r="I21" s="591">
        <f t="shared" si="63"/>
        <v>0.1582031003</v>
      </c>
      <c r="J21" s="149">
        <v>1.0</v>
      </c>
      <c r="K21" s="591">
        <f t="shared" ref="K21:M21" si="64">($B21*(K$7-1))/($B21*(K$7-1)+1)</f>
        <v>0.1367813165</v>
      </c>
      <c r="L21" s="591">
        <f t="shared" si="64"/>
        <v>0.5411160059</v>
      </c>
      <c r="M21" s="591">
        <f t="shared" si="64"/>
        <v>0.480501939</v>
      </c>
      <c r="N21" s="591"/>
      <c r="O21" s="591">
        <f t="shared" si="9"/>
        <v>0.2320511147</v>
      </c>
      <c r="P21" s="591"/>
      <c r="Q21" s="591">
        <f t="shared" ref="Q21:R21" si="65">($B21*(Q$7-1))/($B21*(Q$7-1)+1)</f>
        <v>0.3222016247</v>
      </c>
      <c r="R21" s="591">
        <f t="shared" si="65"/>
        <v>0.2593004092</v>
      </c>
      <c r="S21" s="591"/>
      <c r="T21" s="591">
        <f t="shared" ref="T21:V21" si="66">($B21*(T$7-1))/($B21*(T$7-1)+1)</f>
        <v>0.1476267799</v>
      </c>
      <c r="U21" s="591">
        <f t="shared" si="66"/>
        <v>0.2254756548</v>
      </c>
      <c r="V21" s="592">
        <f t="shared" si="66"/>
        <v>0.2363730776</v>
      </c>
    </row>
    <row r="22" ht="15.75" customHeight="1">
      <c r="A22" s="421" t="s">
        <v>502</v>
      </c>
      <c r="B22" s="590">
        <v>0.285</v>
      </c>
      <c r="C22" s="591">
        <f t="shared" ref="C22:F22" si="67">($B22*(C$7-1))/($B22*(C$7-1)+1)</f>
        <v>0.1091710837</v>
      </c>
      <c r="D22" s="591">
        <f t="shared" si="67"/>
        <v>0.3403041198</v>
      </c>
      <c r="E22" s="591">
        <f t="shared" si="67"/>
        <v>0.6206229371</v>
      </c>
      <c r="F22" s="591">
        <f t="shared" si="67"/>
        <v>0.1702621971</v>
      </c>
      <c r="G22" s="591"/>
      <c r="H22" s="591">
        <f t="shared" ref="H22:I22" si="68">($B22*(H$7-1))/($B22*(H$7-1)+1)</f>
        <v>0.06898798995</v>
      </c>
      <c r="I22" s="591">
        <f t="shared" si="68"/>
        <v>0.1269044397</v>
      </c>
      <c r="J22" s="149">
        <v>1.0</v>
      </c>
      <c r="K22" s="591">
        <f t="shared" ref="K22:M22" si="69">($B22*(K$7-1))/($B22*(K$7-1)+1)</f>
        <v>0.1091710837</v>
      </c>
      <c r="L22" s="591">
        <f t="shared" si="69"/>
        <v>0.4769874477</v>
      </c>
      <c r="M22" s="591">
        <f t="shared" si="69"/>
        <v>0.4170285947</v>
      </c>
      <c r="N22" s="591"/>
      <c r="O22" s="591">
        <f t="shared" si="9"/>
        <v>0.1894301694</v>
      </c>
      <c r="P22" s="591"/>
      <c r="Q22" s="591">
        <f t="shared" ref="Q22:R22" si="70">($B22*(Q$7-1))/($B22*(Q$7-1)+1)</f>
        <v>0.2688187767</v>
      </c>
      <c r="R22" s="591">
        <f t="shared" si="70"/>
        <v>0.2130631517</v>
      </c>
      <c r="S22" s="591"/>
      <c r="T22" s="591">
        <f t="shared" ref="T22:V22" si="71">($B22*(T$7-1))/($B22*(T$7-1)+1)</f>
        <v>0.1181269015</v>
      </c>
      <c r="U22" s="591">
        <f t="shared" si="71"/>
        <v>0.1837734155</v>
      </c>
      <c r="V22" s="592">
        <f t="shared" si="71"/>
        <v>0.1931579797</v>
      </c>
    </row>
    <row r="23" ht="15.75" customHeight="1">
      <c r="A23" s="421" t="s">
        <v>503</v>
      </c>
      <c r="B23" s="590">
        <v>0.25733333333333336</v>
      </c>
      <c r="C23" s="591">
        <f t="shared" ref="C23:F23" si="72">($B23*(C$7-1))/($B23*(C$7-1)+1)</f>
        <v>0.09962904717</v>
      </c>
      <c r="D23" s="591">
        <f t="shared" si="72"/>
        <v>0.3177662758</v>
      </c>
      <c r="E23" s="591">
        <f t="shared" si="72"/>
        <v>0.596301041</v>
      </c>
      <c r="F23" s="591">
        <f t="shared" si="72"/>
        <v>0.1563174946</v>
      </c>
      <c r="G23" s="591"/>
      <c r="H23" s="591">
        <f t="shared" ref="H23:I23" si="73">($B23*(H$7-1))/($B23*(H$7-1)+1)</f>
        <v>0.06271089005</v>
      </c>
      <c r="I23" s="591">
        <f t="shared" si="73"/>
        <v>0.1160142852</v>
      </c>
      <c r="J23" s="149">
        <v>1.0</v>
      </c>
      <c r="K23" s="591">
        <f t="shared" ref="K23:M23" si="74">($B23*(K$7-1))/($B23*(K$7-1)+1)</f>
        <v>0.09962904717</v>
      </c>
      <c r="L23" s="591">
        <f t="shared" si="74"/>
        <v>0.4515940333</v>
      </c>
      <c r="M23" s="591">
        <f t="shared" si="74"/>
        <v>0.3924321347</v>
      </c>
      <c r="N23" s="591"/>
      <c r="O23" s="591">
        <f t="shared" si="9"/>
        <v>0.1742452602</v>
      </c>
      <c r="P23" s="591"/>
      <c r="Q23" s="591">
        <f t="shared" ref="Q23:R23" si="75">($B23*(Q$7-1))/($B23*(Q$7-1)+1)</f>
        <v>0.2492267035</v>
      </c>
      <c r="R23" s="591">
        <f t="shared" si="75"/>
        <v>0.1964429207</v>
      </c>
      <c r="S23" s="591"/>
      <c r="T23" s="591">
        <f t="shared" ref="T23:V23" si="76">($B23*(T$7-1))/($B23*(T$7-1)+1)</f>
        <v>0.1078968967</v>
      </c>
      <c r="U23" s="591">
        <f t="shared" si="76"/>
        <v>0.1689474442</v>
      </c>
      <c r="V23" s="592">
        <f t="shared" si="76"/>
        <v>0.1777397711</v>
      </c>
    </row>
    <row r="24" ht="15.75" customHeight="1">
      <c r="A24" s="421" t="s">
        <v>459</v>
      </c>
      <c r="B24" s="590">
        <v>0.20199999999999999</v>
      </c>
      <c r="C24" s="591">
        <f t="shared" ref="C24:F24" si="77">($B24*(C$7-1))/($B24*(C$7-1)+1)</f>
        <v>0.07991829674</v>
      </c>
      <c r="D24" s="591">
        <f t="shared" si="77"/>
        <v>0.2677318727</v>
      </c>
      <c r="E24" s="591">
        <f t="shared" si="77"/>
        <v>0.5369255562</v>
      </c>
      <c r="F24" s="591">
        <f t="shared" si="77"/>
        <v>0.1269730409</v>
      </c>
      <c r="G24" s="591"/>
      <c r="H24" s="591">
        <f t="shared" ref="H24:I24" si="78">($B24*(H$7-1))/($B24*(H$7-1)+1)</f>
        <v>0.04989928932</v>
      </c>
      <c r="I24" s="591">
        <f t="shared" si="78"/>
        <v>0.09339812515</v>
      </c>
      <c r="J24" s="149">
        <v>1.0</v>
      </c>
      <c r="K24" s="591">
        <f t="shared" ref="K24:M24" si="79">($B24*(K$7-1))/($B24*(K$7-1)+1)</f>
        <v>0.07991829674</v>
      </c>
      <c r="L24" s="591">
        <f t="shared" si="79"/>
        <v>0.3926141885</v>
      </c>
      <c r="M24" s="591">
        <f t="shared" si="79"/>
        <v>0.3364387998</v>
      </c>
      <c r="N24" s="591"/>
      <c r="O24" s="591">
        <f t="shared" si="9"/>
        <v>0.1421021928</v>
      </c>
      <c r="P24" s="591"/>
      <c r="Q24" s="591">
        <f t="shared" ref="Q24:R24" si="80">($B24*(Q$7-1))/($B24*(Q$7-1)+1)</f>
        <v>0.2067143696</v>
      </c>
      <c r="R24" s="591">
        <f t="shared" si="80"/>
        <v>0.1610034399</v>
      </c>
      <c r="S24" s="591"/>
      <c r="T24" s="591">
        <f t="shared" ref="T24:V24" si="81">($B24*(T$7-1))/($B24*(T$7-1)+1)</f>
        <v>0.08670794747</v>
      </c>
      <c r="U24" s="591">
        <f t="shared" si="81"/>
        <v>0.137618793</v>
      </c>
      <c r="V24" s="592">
        <f t="shared" si="81"/>
        <v>0.145065317</v>
      </c>
    </row>
    <row r="25" ht="15.75" customHeight="1">
      <c r="A25" s="430" t="s">
        <v>504</v>
      </c>
      <c r="B25" s="593">
        <v>0.25102777777777774</v>
      </c>
      <c r="C25" s="594">
        <f t="shared" ref="C25:F25" si="82">($B25*(C$7-1))/($B25*(C$7-1)+1)</f>
        <v>0.09742563226</v>
      </c>
      <c r="D25" s="594">
        <f t="shared" si="82"/>
        <v>0.3124124639</v>
      </c>
      <c r="E25" s="594">
        <f t="shared" si="82"/>
        <v>0.5903149545</v>
      </c>
      <c r="F25" s="594">
        <f t="shared" si="82"/>
        <v>0.1530734963</v>
      </c>
      <c r="G25" s="594"/>
      <c r="H25" s="594">
        <f t="shared" ref="H25:I25" si="83">($B25*(H$7-1))/($B25*(H$7-1)+1)</f>
        <v>0.0612684037</v>
      </c>
      <c r="I25" s="594">
        <f t="shared" si="83"/>
        <v>0.1134941701</v>
      </c>
      <c r="J25" s="594">
        <v>1.0</v>
      </c>
      <c r="K25" s="594">
        <f t="shared" ref="K25:M25" si="84">($B25*(K$7-1))/($B25*(K$7-1)+1)</f>
        <v>0.09742563226</v>
      </c>
      <c r="L25" s="594">
        <f t="shared" si="84"/>
        <v>0.4454576823</v>
      </c>
      <c r="M25" s="594">
        <f t="shared" si="84"/>
        <v>0.3865330717</v>
      </c>
      <c r="N25" s="594"/>
      <c r="O25" s="594">
        <f t="shared" si="9"/>
        <v>0.1707044911</v>
      </c>
      <c r="P25" s="594"/>
      <c r="Q25" s="594">
        <f t="shared" ref="Q25:R25" si="85">($B25*(Q$7-1))/($B25*(Q$7-1)+1)</f>
        <v>0.244613623</v>
      </c>
      <c r="R25" s="594">
        <f t="shared" si="85"/>
        <v>0.1925562659</v>
      </c>
      <c r="S25" s="594"/>
      <c r="T25" s="594">
        <f t="shared" ref="T25:V25" si="86">($B25*(T$7-1))/($B25*(T$7-1)+1)</f>
        <v>0.1055320606</v>
      </c>
      <c r="U25" s="594">
        <f t="shared" si="86"/>
        <v>0.1654927545</v>
      </c>
      <c r="V25" s="595">
        <f t="shared" si="86"/>
        <v>0.1741429669</v>
      </c>
    </row>
    <row r="26" ht="15.75" customHeight="1">
      <c r="A26" s="596"/>
      <c r="B26" s="596"/>
      <c r="C26" s="596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</row>
    <row r="27" ht="15.75" customHeight="1">
      <c r="A27" s="597" t="s">
        <v>690</v>
      </c>
      <c r="B27" s="581"/>
      <c r="C27" s="582" t="s">
        <v>288</v>
      </c>
      <c r="D27" s="582" t="s">
        <v>405</v>
      </c>
      <c r="E27" s="583" t="s">
        <v>292</v>
      </c>
      <c r="F27" s="583" t="s">
        <v>294</v>
      </c>
      <c r="G27" s="582" t="s">
        <v>296</v>
      </c>
      <c r="H27" s="583" t="s">
        <v>298</v>
      </c>
      <c r="I27" s="582" t="s">
        <v>300</v>
      </c>
      <c r="J27" s="583" t="s">
        <v>89</v>
      </c>
      <c r="K27" s="582" t="s">
        <v>303</v>
      </c>
      <c r="L27" s="583" t="s">
        <v>305</v>
      </c>
      <c r="M27" s="582" t="s">
        <v>307</v>
      </c>
      <c r="N27" s="583" t="s">
        <v>406</v>
      </c>
      <c r="O27" s="582" t="s">
        <v>311</v>
      </c>
      <c r="P27" s="583" t="s">
        <v>313</v>
      </c>
      <c r="Q27" s="582" t="s">
        <v>315</v>
      </c>
      <c r="R27" s="583" t="s">
        <v>407</v>
      </c>
      <c r="S27" s="582" t="s">
        <v>319</v>
      </c>
      <c r="T27" s="583" t="s">
        <v>321</v>
      </c>
      <c r="U27" s="582" t="s">
        <v>323</v>
      </c>
      <c r="V27" s="584" t="s">
        <v>408</v>
      </c>
    </row>
    <row r="28" ht="15.75" customHeight="1">
      <c r="A28" s="585"/>
      <c r="B28" s="35" t="s">
        <v>677</v>
      </c>
      <c r="C28" s="557">
        <v>1.78</v>
      </c>
      <c r="D28" s="557">
        <v>2.81</v>
      </c>
      <c r="E28" s="557">
        <v>12.41</v>
      </c>
      <c r="F28" s="557">
        <v>3.1</v>
      </c>
      <c r="G28" s="557">
        <v>1.32</v>
      </c>
      <c r="H28" s="37" t="s">
        <v>70</v>
      </c>
      <c r="I28" s="557">
        <v>1.49</v>
      </c>
      <c r="J28" s="149">
        <v>1.0</v>
      </c>
      <c r="K28" s="557">
        <v>2.32</v>
      </c>
      <c r="L28" s="557">
        <v>1.96</v>
      </c>
      <c r="M28" s="557">
        <v>3.51</v>
      </c>
      <c r="N28" s="557">
        <v>3.22</v>
      </c>
      <c r="O28" s="557">
        <v>2.64</v>
      </c>
      <c r="P28" s="557">
        <v>1.13</v>
      </c>
      <c r="Q28" s="557">
        <v>1.6</v>
      </c>
      <c r="R28" s="557">
        <v>1.66</v>
      </c>
      <c r="S28" s="557">
        <v>1.28</v>
      </c>
      <c r="T28" s="557">
        <v>1.82</v>
      </c>
      <c r="U28" s="557">
        <v>1.78</v>
      </c>
      <c r="V28" s="569">
        <v>2.42</v>
      </c>
    </row>
    <row r="29" ht="15.75" customHeight="1">
      <c r="A29" s="586"/>
      <c r="B29" s="41" t="s">
        <v>678</v>
      </c>
      <c r="C29" s="573">
        <v>39.0</v>
      </c>
      <c r="D29" s="279">
        <v>43.0</v>
      </c>
      <c r="E29" s="279" t="s">
        <v>679</v>
      </c>
      <c r="F29" s="279">
        <v>34.0</v>
      </c>
      <c r="G29" s="279">
        <v>10.0</v>
      </c>
      <c r="H29" s="279" t="s">
        <v>680</v>
      </c>
      <c r="I29" s="279" t="s">
        <v>681</v>
      </c>
      <c r="J29" s="279" t="s">
        <v>682</v>
      </c>
      <c r="K29" s="279" t="s">
        <v>683</v>
      </c>
      <c r="L29" s="279">
        <v>42.0</v>
      </c>
      <c r="M29" s="279">
        <v>35.0</v>
      </c>
      <c r="N29" s="279" t="s">
        <v>684</v>
      </c>
      <c r="O29" s="279" t="s">
        <v>685</v>
      </c>
      <c r="P29" s="279" t="s">
        <v>686</v>
      </c>
      <c r="Q29" s="279" t="s">
        <v>687</v>
      </c>
      <c r="R29" s="587">
        <v>43480.0</v>
      </c>
      <c r="S29" s="588">
        <v>45158.0</v>
      </c>
      <c r="T29" s="279" t="s">
        <v>688</v>
      </c>
      <c r="U29" s="279">
        <v>36.0</v>
      </c>
      <c r="V29" s="280">
        <v>33.0</v>
      </c>
    </row>
    <row r="30" ht="15.75" customHeight="1">
      <c r="A30" s="589" t="s">
        <v>573</v>
      </c>
      <c r="B30" s="590">
        <v>0.03</v>
      </c>
      <c r="C30" s="591">
        <f t="shared" ref="C30:G30" si="87">($B30*(C$28-1))/($B30*(C$28-1)+1)</f>
        <v>0.02286495994</v>
      </c>
      <c r="D30" s="591">
        <f t="shared" si="87"/>
        <v>0.05150336716</v>
      </c>
      <c r="E30" s="591">
        <f t="shared" si="87"/>
        <v>0.2550100574</v>
      </c>
      <c r="F30" s="591">
        <f t="shared" si="87"/>
        <v>0.05926622766</v>
      </c>
      <c r="G30" s="591">
        <f t="shared" si="87"/>
        <v>0.009508716323</v>
      </c>
      <c r="H30" s="591"/>
      <c r="I30" s="591">
        <f t="shared" ref="I30:I46" si="90">($B30*(I$28-1))/($B30*(I$28-1)+1)</f>
        <v>0.0144870405</v>
      </c>
      <c r="J30" s="149">
        <v>1.0</v>
      </c>
      <c r="K30" s="591">
        <f t="shared" ref="K30:V30" si="88">($B30*(K$28-1))/($B30*(K$28-1)+1)</f>
        <v>0.03809157368</v>
      </c>
      <c r="L30" s="591">
        <f t="shared" si="88"/>
        <v>0.02799377916</v>
      </c>
      <c r="M30" s="591">
        <f t="shared" si="88"/>
        <v>0.07002696922</v>
      </c>
      <c r="N30" s="591">
        <f t="shared" si="88"/>
        <v>0.06244140259</v>
      </c>
      <c r="O30" s="591">
        <f t="shared" si="88"/>
        <v>0.04689287076</v>
      </c>
      <c r="P30" s="591">
        <f t="shared" si="88"/>
        <v>0.003884849089</v>
      </c>
      <c r="Q30" s="591">
        <f t="shared" si="88"/>
        <v>0.01768172888</v>
      </c>
      <c r="R30" s="591">
        <f t="shared" si="88"/>
        <v>0.01941557168</v>
      </c>
      <c r="S30" s="591">
        <f t="shared" si="88"/>
        <v>0.008330027767</v>
      </c>
      <c r="T30" s="591">
        <f t="shared" si="88"/>
        <v>0.02400936951</v>
      </c>
      <c r="U30" s="591">
        <f t="shared" si="88"/>
        <v>0.02286495994</v>
      </c>
      <c r="V30" s="592">
        <f t="shared" si="88"/>
        <v>0.04085938999</v>
      </c>
    </row>
    <row r="31" ht="15.75" customHeight="1">
      <c r="A31" s="589" t="s">
        <v>574</v>
      </c>
      <c r="B31" s="590">
        <v>0.075</v>
      </c>
      <c r="C31" s="591">
        <f t="shared" ref="C31:G31" si="89">($B31*(C$28-1))/($B31*(C$28-1)+1)</f>
        <v>0.0552668871</v>
      </c>
      <c r="D31" s="591">
        <f t="shared" si="89"/>
        <v>0.1195245433</v>
      </c>
      <c r="E31" s="591">
        <f t="shared" si="89"/>
        <v>0.4611343123</v>
      </c>
      <c r="F31" s="591">
        <f t="shared" si="89"/>
        <v>0.1360691145</v>
      </c>
      <c r="G31" s="591">
        <f t="shared" si="89"/>
        <v>0.0234375</v>
      </c>
      <c r="H31" s="591"/>
      <c r="I31" s="591">
        <f t="shared" si="90"/>
        <v>0.03544731131</v>
      </c>
      <c r="J31" s="149">
        <v>1.0</v>
      </c>
      <c r="K31" s="591">
        <f t="shared" ref="K31:V31" si="91">($B31*(K$28-1))/($B31*(K$28-1)+1)</f>
        <v>0.09008189263</v>
      </c>
      <c r="L31" s="591">
        <f t="shared" si="91"/>
        <v>0.0671641791</v>
      </c>
      <c r="M31" s="591">
        <f t="shared" si="91"/>
        <v>0.1584262571</v>
      </c>
      <c r="N31" s="591">
        <f t="shared" si="91"/>
        <v>0.1427346764</v>
      </c>
      <c r="O31" s="591">
        <f t="shared" si="91"/>
        <v>0.1095280499</v>
      </c>
      <c r="P31" s="591">
        <f t="shared" si="91"/>
        <v>0.00965585541</v>
      </c>
      <c r="Q31" s="591">
        <f t="shared" si="91"/>
        <v>0.04306220096</v>
      </c>
      <c r="R31" s="591">
        <f t="shared" si="91"/>
        <v>0.04716531682</v>
      </c>
      <c r="S31" s="591">
        <f t="shared" si="91"/>
        <v>0.02056807052</v>
      </c>
      <c r="T31" s="591">
        <f t="shared" si="91"/>
        <v>0.05793688177</v>
      </c>
      <c r="U31" s="591">
        <f t="shared" si="91"/>
        <v>0.0552668871</v>
      </c>
      <c r="V31" s="592">
        <f t="shared" si="91"/>
        <v>0.09624943516</v>
      </c>
    </row>
    <row r="32" ht="15.75" customHeight="1">
      <c r="A32" s="589" t="s">
        <v>575</v>
      </c>
      <c r="B32" s="590">
        <v>0.0665</v>
      </c>
      <c r="C32" s="591">
        <f t="shared" ref="C32:G32" si="92">($B32*(C$28-1))/($B32*(C$28-1)+1)</f>
        <v>0.04931217736</v>
      </c>
      <c r="D32" s="591">
        <f t="shared" si="92"/>
        <v>0.1074337381</v>
      </c>
      <c r="E32" s="591">
        <f t="shared" si="92"/>
        <v>0.4314192061</v>
      </c>
      <c r="F32" s="591">
        <f t="shared" si="92"/>
        <v>0.1225376212</v>
      </c>
      <c r="G32" s="591">
        <f t="shared" si="92"/>
        <v>0.02083659721</v>
      </c>
      <c r="H32" s="591"/>
      <c r="I32" s="591">
        <f t="shared" si="90"/>
        <v>0.03155672414</v>
      </c>
      <c r="J32" s="149">
        <v>1.0</v>
      </c>
      <c r="K32" s="591">
        <f t="shared" ref="K32:V32" si="93">($B32*(K$28-1))/($B32*(K$28-1)+1)</f>
        <v>0.08069646436</v>
      </c>
      <c r="L32" s="591">
        <f t="shared" si="93"/>
        <v>0.06000902391</v>
      </c>
      <c r="M32" s="591">
        <f t="shared" si="93"/>
        <v>0.143039553</v>
      </c>
      <c r="N32" s="591">
        <f t="shared" si="93"/>
        <v>0.1286390213</v>
      </c>
      <c r="O32" s="591">
        <f t="shared" si="93"/>
        <v>0.09833552738</v>
      </c>
      <c r="P32" s="591">
        <f t="shared" si="93"/>
        <v>0.00857090453</v>
      </c>
      <c r="Q32" s="591">
        <f t="shared" si="93"/>
        <v>0.03836907395</v>
      </c>
      <c r="R32" s="591">
        <f t="shared" si="93"/>
        <v>0.04204465988</v>
      </c>
      <c r="S32" s="591">
        <f t="shared" si="93"/>
        <v>0.01827963323</v>
      </c>
      <c r="T32" s="591">
        <f t="shared" si="93"/>
        <v>0.05171024058</v>
      </c>
      <c r="U32" s="591">
        <f t="shared" si="93"/>
        <v>0.04931217736</v>
      </c>
      <c r="V32" s="592">
        <f t="shared" si="93"/>
        <v>0.08628235703</v>
      </c>
    </row>
    <row r="33" ht="15.75" customHeight="1">
      <c r="A33" s="589" t="s">
        <v>417</v>
      </c>
      <c r="B33" s="590">
        <v>0.027999999999999997</v>
      </c>
      <c r="C33" s="591">
        <f t="shared" ref="C33:G33" si="94">($B33*(C$28-1))/($B33*(C$28-1)+1)</f>
        <v>0.02137320911</v>
      </c>
      <c r="D33" s="591">
        <f t="shared" si="94"/>
        <v>0.04823542848</v>
      </c>
      <c r="E33" s="591">
        <f t="shared" si="94"/>
        <v>0.2421256859</v>
      </c>
      <c r="F33" s="591">
        <f t="shared" si="94"/>
        <v>0.05553456743</v>
      </c>
      <c r="G33" s="591">
        <f t="shared" si="94"/>
        <v>0.008880431335</v>
      </c>
      <c r="H33" s="591"/>
      <c r="I33" s="591">
        <f t="shared" si="90"/>
        <v>0.01353430928</v>
      </c>
      <c r="J33" s="149">
        <v>1.0</v>
      </c>
      <c r="K33" s="591">
        <f t="shared" ref="K33:V33" si="95">($B33*(K$28-1))/($B33*(K$28-1)+1)</f>
        <v>0.03564264774</v>
      </c>
      <c r="L33" s="591">
        <f t="shared" si="95"/>
        <v>0.02617637893</v>
      </c>
      <c r="M33" s="591">
        <f t="shared" si="95"/>
        <v>0.06566505961</v>
      </c>
      <c r="N33" s="591">
        <f t="shared" si="95"/>
        <v>0.05852225653</v>
      </c>
      <c r="O33" s="591">
        <f t="shared" si="95"/>
        <v>0.04390393147</v>
      </c>
      <c r="P33" s="591">
        <f t="shared" si="95"/>
        <v>0.003626798454</v>
      </c>
      <c r="Q33" s="591">
        <f t="shared" si="95"/>
        <v>0.01652242329</v>
      </c>
      <c r="R33" s="591">
        <f t="shared" si="95"/>
        <v>0.0181446862</v>
      </c>
      <c r="S33" s="591">
        <f t="shared" si="95"/>
        <v>0.007779012542</v>
      </c>
      <c r="T33" s="591">
        <f t="shared" si="95"/>
        <v>0.02244467037</v>
      </c>
      <c r="U33" s="591">
        <f t="shared" si="95"/>
        <v>0.02137320911</v>
      </c>
      <c r="V33" s="592">
        <f t="shared" si="95"/>
        <v>0.03823959375</v>
      </c>
    </row>
    <row r="34" ht="15.75" customHeight="1">
      <c r="A34" s="589" t="s">
        <v>689</v>
      </c>
      <c r="B34" s="590">
        <v>0.05566666666666666</v>
      </c>
      <c r="C34" s="591">
        <f t="shared" ref="C34:G34" si="96">($B34*(C$28-1))/($B34*(C$28-1)+1)</f>
        <v>0.04161315673</v>
      </c>
      <c r="D34" s="591">
        <f t="shared" si="96"/>
        <v>0.0915340054</v>
      </c>
      <c r="E34" s="591">
        <f t="shared" si="96"/>
        <v>0.3884378051</v>
      </c>
      <c r="F34" s="591">
        <f t="shared" si="96"/>
        <v>0.1046646969</v>
      </c>
      <c r="G34" s="591">
        <f t="shared" si="96"/>
        <v>0.017501572</v>
      </c>
      <c r="H34" s="591"/>
      <c r="I34" s="591">
        <f t="shared" si="90"/>
        <v>0.02655240555</v>
      </c>
      <c r="J34" s="149">
        <v>1.0</v>
      </c>
      <c r="K34" s="591">
        <f t="shared" ref="K34:V34" si="97">($B34*(K$28-1))/($B34*(K$28-1)+1)</f>
        <v>0.06845027388</v>
      </c>
      <c r="L34" s="591">
        <f t="shared" si="97"/>
        <v>0.0507290401</v>
      </c>
      <c r="M34" s="591">
        <f t="shared" si="97"/>
        <v>0.1225940798</v>
      </c>
      <c r="N34" s="591">
        <f t="shared" si="97"/>
        <v>0.1099877178</v>
      </c>
      <c r="O34" s="591">
        <f t="shared" si="97"/>
        <v>0.08365609002</v>
      </c>
      <c r="P34" s="591">
        <f t="shared" si="97"/>
        <v>0.007184673579</v>
      </c>
      <c r="Q34" s="591">
        <f t="shared" si="97"/>
        <v>0.03232049545</v>
      </c>
      <c r="R34" s="591">
        <f t="shared" si="97"/>
        <v>0.0354380076</v>
      </c>
      <c r="S34" s="591">
        <f t="shared" si="97"/>
        <v>0.01534745106</v>
      </c>
      <c r="T34" s="591">
        <f t="shared" si="97"/>
        <v>0.04365400677</v>
      </c>
      <c r="U34" s="591">
        <f t="shared" si="97"/>
        <v>0.04161315673</v>
      </c>
      <c r="V34" s="592">
        <f t="shared" si="97"/>
        <v>0.07325602229</v>
      </c>
    </row>
    <row r="35" ht="15.75" customHeight="1">
      <c r="A35" s="589" t="s">
        <v>391</v>
      </c>
      <c r="B35" s="590">
        <v>0.08341785016894653</v>
      </c>
      <c r="C35" s="591">
        <f t="shared" ref="C35:G35" si="98">($B35*(C$28-1))/($B35*(C$28-1)+1)</f>
        <v>0.06109098199</v>
      </c>
      <c r="D35" s="591">
        <f t="shared" si="98"/>
        <v>0.1311799347</v>
      </c>
      <c r="E35" s="591">
        <f t="shared" si="98"/>
        <v>0.4876518119</v>
      </c>
      <c r="F35" s="591">
        <f t="shared" si="98"/>
        <v>0.1490647052</v>
      </c>
      <c r="G35" s="591">
        <f t="shared" si="98"/>
        <v>0.02599968398</v>
      </c>
      <c r="H35" s="591"/>
      <c r="I35" s="591">
        <f t="shared" si="90"/>
        <v>0.03926961118</v>
      </c>
      <c r="J35" s="149">
        <v>1.0</v>
      </c>
      <c r="K35" s="591">
        <f t="shared" ref="K35:V35" si="99">($B35*(K$28-1))/($B35*(K$28-1)+1)</f>
        <v>0.0991896364</v>
      </c>
      <c r="L35" s="591">
        <f t="shared" si="99"/>
        <v>0.07414363003</v>
      </c>
      <c r="M35" s="591">
        <f t="shared" si="99"/>
        <v>0.1731292158</v>
      </c>
      <c r="N35" s="591">
        <f t="shared" si="99"/>
        <v>0.1562517386</v>
      </c>
      <c r="O35" s="591">
        <f t="shared" si="99"/>
        <v>0.1203418715</v>
      </c>
      <c r="P35" s="591">
        <f t="shared" si="99"/>
        <v>0.01072798284</v>
      </c>
      <c r="Q35" s="591">
        <f t="shared" si="99"/>
        <v>0.04766504095</v>
      </c>
      <c r="R35" s="591">
        <f t="shared" si="99"/>
        <v>0.05218281545</v>
      </c>
      <c r="S35" s="591">
        <f t="shared" si="99"/>
        <v>0.02282390025</v>
      </c>
      <c r="T35" s="591">
        <f t="shared" si="99"/>
        <v>0.06402327621</v>
      </c>
      <c r="U35" s="591">
        <f t="shared" si="99"/>
        <v>0.06109098199</v>
      </c>
      <c r="V35" s="592">
        <f t="shared" si="99"/>
        <v>0.10590817</v>
      </c>
    </row>
    <row r="36" ht="15.75" customHeight="1">
      <c r="A36" s="589" t="s">
        <v>392</v>
      </c>
      <c r="B36" s="590">
        <v>0.12541785016894655</v>
      </c>
      <c r="C36" s="591">
        <f t="shared" ref="C36:G36" si="100">($B36*(C$28-1))/($B36*(C$28-1)+1)</f>
        <v>0.08910877496</v>
      </c>
      <c r="D36" s="591">
        <f t="shared" si="100"/>
        <v>0.1850082654</v>
      </c>
      <c r="E36" s="591">
        <f t="shared" si="100"/>
        <v>0.5886496375</v>
      </c>
      <c r="F36" s="591">
        <f t="shared" si="100"/>
        <v>0.2084709348</v>
      </c>
      <c r="G36" s="591">
        <f t="shared" si="100"/>
        <v>0.03858514688</v>
      </c>
      <c r="H36" s="591"/>
      <c r="I36" s="591">
        <f t="shared" si="90"/>
        <v>0.05789671842</v>
      </c>
      <c r="J36" s="149">
        <v>1.0</v>
      </c>
      <c r="K36" s="591">
        <f t="shared" ref="K36:V36" si="101">($B36*(K$28-1))/($B36*(K$28-1)+1)</f>
        <v>0.1420370986</v>
      </c>
      <c r="L36" s="591">
        <f t="shared" si="101"/>
        <v>0.1074625259</v>
      </c>
      <c r="M36" s="591">
        <f t="shared" si="101"/>
        <v>0.239427358</v>
      </c>
      <c r="N36" s="591">
        <f t="shared" si="101"/>
        <v>0.2177891196</v>
      </c>
      <c r="O36" s="591">
        <f t="shared" si="101"/>
        <v>0.1705961569</v>
      </c>
      <c r="P36" s="591">
        <f t="shared" si="101"/>
        <v>0.01604275431</v>
      </c>
      <c r="Q36" s="591">
        <f t="shared" si="101"/>
        <v>0.0699843389</v>
      </c>
      <c r="R36" s="591">
        <f t="shared" si="101"/>
        <v>0.07644775821</v>
      </c>
      <c r="S36" s="591">
        <f t="shared" si="101"/>
        <v>0.0339256317</v>
      </c>
      <c r="T36" s="591">
        <f t="shared" si="101"/>
        <v>0.09325232239</v>
      </c>
      <c r="U36" s="591">
        <f t="shared" si="101"/>
        <v>0.08910877496</v>
      </c>
      <c r="V36" s="592">
        <f t="shared" si="101"/>
        <v>0.1511708284</v>
      </c>
    </row>
    <row r="37" ht="15.75" customHeight="1">
      <c r="A37" s="589" t="s">
        <v>393</v>
      </c>
      <c r="B37" s="590">
        <v>0.2016666666666667</v>
      </c>
      <c r="C37" s="591">
        <f t="shared" ref="C37:G37" si="102">($B37*(C$28-1))/($B37*(C$28-1)+1)</f>
        <v>0.1359198134</v>
      </c>
      <c r="D37" s="591">
        <f t="shared" si="102"/>
        <v>0.2674082124</v>
      </c>
      <c r="E37" s="591">
        <f t="shared" si="102"/>
        <v>0.697063026</v>
      </c>
      <c r="F37" s="591">
        <f t="shared" si="102"/>
        <v>0.2975061468</v>
      </c>
      <c r="G37" s="591">
        <f t="shared" si="102"/>
        <v>0.06062124248</v>
      </c>
      <c r="H37" s="591"/>
      <c r="I37" s="591">
        <f t="shared" si="90"/>
        <v>0.08993007629</v>
      </c>
      <c r="J37" s="149">
        <v>1.0</v>
      </c>
      <c r="K37" s="591">
        <f t="shared" ref="K37:V37" si="103">($B37*(K$28-1))/($B37*(K$28-1)+1)</f>
        <v>0.2102353499</v>
      </c>
      <c r="L37" s="591">
        <f t="shared" si="103"/>
        <v>0.1621983914</v>
      </c>
      <c r="M37" s="591">
        <f t="shared" si="103"/>
        <v>0.3360701995</v>
      </c>
      <c r="N37" s="591">
        <f t="shared" si="103"/>
        <v>0.3092491538</v>
      </c>
      <c r="O37" s="591">
        <f t="shared" si="103"/>
        <v>0.2485346426</v>
      </c>
      <c r="P37" s="591">
        <f t="shared" si="103"/>
        <v>0.0255469118</v>
      </c>
      <c r="Q37" s="591">
        <f t="shared" si="103"/>
        <v>0.1079393399</v>
      </c>
      <c r="R37" s="591">
        <f t="shared" si="103"/>
        <v>0.1174653605</v>
      </c>
      <c r="S37" s="591">
        <f t="shared" si="103"/>
        <v>0.05344860226</v>
      </c>
      <c r="T37" s="591">
        <f t="shared" si="103"/>
        <v>0.1419009754</v>
      </c>
      <c r="U37" s="591">
        <f t="shared" si="103"/>
        <v>0.1359198134</v>
      </c>
      <c r="V37" s="592">
        <f t="shared" si="103"/>
        <v>0.2226166723</v>
      </c>
    </row>
    <row r="38" ht="15.75" customHeight="1">
      <c r="A38" s="421" t="s">
        <v>394</v>
      </c>
      <c r="B38" s="590">
        <v>0.21833333333333335</v>
      </c>
      <c r="C38" s="591">
        <f t="shared" ref="C38:G38" si="104">($B38*(C$28-1))/($B38*(C$28-1)+1)</f>
        <v>0.1455182432</v>
      </c>
      <c r="D38" s="591">
        <f t="shared" si="104"/>
        <v>0.2832483186</v>
      </c>
      <c r="E38" s="591">
        <f t="shared" si="104"/>
        <v>0.7135641688</v>
      </c>
      <c r="F38" s="591">
        <f t="shared" si="104"/>
        <v>0.3143640727</v>
      </c>
      <c r="G38" s="591">
        <f t="shared" si="104"/>
        <v>0.06530408774</v>
      </c>
      <c r="H38" s="591"/>
      <c r="I38" s="591">
        <f t="shared" si="90"/>
        <v>0.09664403258</v>
      </c>
      <c r="J38" s="149">
        <v>1.0</v>
      </c>
      <c r="K38" s="591">
        <f t="shared" ref="K38:V38" si="105">($B38*(K$28-1))/($B38*(K$28-1)+1)</f>
        <v>0.2237230244</v>
      </c>
      <c r="L38" s="591">
        <f t="shared" si="105"/>
        <v>0.1732804233</v>
      </c>
      <c r="M38" s="591">
        <f t="shared" si="105"/>
        <v>0.354012123</v>
      </c>
      <c r="N38" s="591">
        <f t="shared" si="105"/>
        <v>0.3264632586</v>
      </c>
      <c r="O38" s="591">
        <f t="shared" si="105"/>
        <v>0.2636591233</v>
      </c>
      <c r="P38" s="591">
        <f t="shared" si="105"/>
        <v>0.02759995462</v>
      </c>
      <c r="Q38" s="591">
        <f t="shared" si="105"/>
        <v>0.115826702</v>
      </c>
      <c r="R38" s="591">
        <f t="shared" si="105"/>
        <v>0.1259505288</v>
      </c>
      <c r="S38" s="591">
        <f t="shared" si="105"/>
        <v>0.05761135892</v>
      </c>
      <c r="T38" s="591">
        <f t="shared" si="105"/>
        <v>0.1518475587</v>
      </c>
      <c r="U38" s="591">
        <f t="shared" si="105"/>
        <v>0.1455182432</v>
      </c>
      <c r="V38" s="592">
        <f t="shared" si="105"/>
        <v>0.2366606448</v>
      </c>
    </row>
    <row r="39" ht="15.75" customHeight="1">
      <c r="A39" s="421" t="s">
        <v>395</v>
      </c>
      <c r="B39" s="590">
        <v>0.23116666666666666</v>
      </c>
      <c r="C39" s="591">
        <f t="shared" ref="C39:G39" si="106">($B39*(C$28-1))/($B39*(C$28-1)+1)</f>
        <v>0.1527649516</v>
      </c>
      <c r="D39" s="591">
        <f t="shared" si="106"/>
        <v>0.2949860583</v>
      </c>
      <c r="E39" s="591">
        <f t="shared" si="106"/>
        <v>0.7250943499</v>
      </c>
      <c r="F39" s="591">
        <f t="shared" si="106"/>
        <v>0.3268033256</v>
      </c>
      <c r="G39" s="591">
        <f t="shared" si="106"/>
        <v>0.06887818444</v>
      </c>
      <c r="H39" s="591"/>
      <c r="I39" s="591">
        <f t="shared" si="90"/>
        <v>0.1017466536</v>
      </c>
      <c r="J39" s="149">
        <v>1.0</v>
      </c>
      <c r="K39" s="591">
        <f t="shared" ref="K39:V39" si="107">($B39*(K$28-1))/($B39*(K$28-1)+1)</f>
        <v>0.2337986729</v>
      </c>
      <c r="L39" s="591">
        <f t="shared" si="107"/>
        <v>0.1816158177</v>
      </c>
      <c r="M39" s="591">
        <f t="shared" si="107"/>
        <v>0.3671800594</v>
      </c>
      <c r="N39" s="591">
        <f t="shared" si="107"/>
        <v>0.3391444564</v>
      </c>
      <c r="O39" s="591">
        <f t="shared" si="107"/>
        <v>0.274896431</v>
      </c>
      <c r="P39" s="591">
        <f t="shared" si="107"/>
        <v>0.02917491194</v>
      </c>
      <c r="Q39" s="591">
        <f t="shared" si="107"/>
        <v>0.1218055678</v>
      </c>
      <c r="R39" s="591">
        <f t="shared" si="107"/>
        <v>0.1323737387</v>
      </c>
      <c r="S39" s="591">
        <f t="shared" si="107"/>
        <v>0.06079181511</v>
      </c>
      <c r="T39" s="591">
        <f t="shared" si="107"/>
        <v>0.1593506825</v>
      </c>
      <c r="U39" s="591">
        <f t="shared" si="107"/>
        <v>0.1527649516</v>
      </c>
      <c r="V39" s="592">
        <f t="shared" si="107"/>
        <v>0.2471334607</v>
      </c>
    </row>
    <row r="40" ht="15.75" customHeight="1">
      <c r="A40" s="421" t="s">
        <v>396</v>
      </c>
      <c r="B40" s="590">
        <v>0.2665</v>
      </c>
      <c r="C40" s="591">
        <f t="shared" ref="C40:G40" si="108">($B40*(C$28-1))/($B40*(C$28-1)+1)</f>
        <v>0.1720963349</v>
      </c>
      <c r="D40" s="591">
        <f t="shared" si="108"/>
        <v>0.3254023132</v>
      </c>
      <c r="E40" s="591">
        <f t="shared" si="108"/>
        <v>0.7525221091</v>
      </c>
      <c r="F40" s="591">
        <f t="shared" si="108"/>
        <v>0.3588305068</v>
      </c>
      <c r="G40" s="591">
        <f t="shared" si="108"/>
        <v>0.07857879994</v>
      </c>
      <c r="H40" s="591"/>
      <c r="I40" s="591">
        <f t="shared" si="90"/>
        <v>0.1155021515</v>
      </c>
      <c r="J40" s="149">
        <v>1.0</v>
      </c>
      <c r="K40" s="591">
        <f t="shared" ref="K40:V40" si="109">($B40*(K$28-1))/($B40*(K$28-1)+1)</f>
        <v>0.2602346536</v>
      </c>
      <c r="L40" s="591">
        <f t="shared" si="109"/>
        <v>0.2037202191</v>
      </c>
      <c r="M40" s="591">
        <f t="shared" si="109"/>
        <v>0.4008083096</v>
      </c>
      <c r="N40" s="591">
        <f t="shared" si="109"/>
        <v>0.3717132751</v>
      </c>
      <c r="O40" s="591">
        <f t="shared" si="109"/>
        <v>0.3041348308</v>
      </c>
      <c r="P40" s="591">
        <f t="shared" si="109"/>
        <v>0.03348491512</v>
      </c>
      <c r="Q40" s="591">
        <f t="shared" si="109"/>
        <v>0.1378567118</v>
      </c>
      <c r="R40" s="591">
        <f t="shared" si="109"/>
        <v>0.1495803179</v>
      </c>
      <c r="S40" s="591">
        <f t="shared" si="109"/>
        <v>0.06943849919</v>
      </c>
      <c r="T40" s="591">
        <f t="shared" si="109"/>
        <v>0.1793390397</v>
      </c>
      <c r="U40" s="591">
        <f t="shared" si="109"/>
        <v>0.1720963349</v>
      </c>
      <c r="V40" s="592">
        <f t="shared" si="109"/>
        <v>0.2745369732</v>
      </c>
    </row>
    <row r="41" ht="15.75" customHeight="1">
      <c r="A41" s="421" t="s">
        <v>397</v>
      </c>
      <c r="B41" s="590">
        <v>0.308</v>
      </c>
      <c r="C41" s="591">
        <f t="shared" ref="C41:G41" si="110">($B41*(C$28-1))/($B41*(C$28-1)+1)</f>
        <v>0.1937044443</v>
      </c>
      <c r="D41" s="591">
        <f t="shared" si="110"/>
        <v>0.3579371806</v>
      </c>
      <c r="E41" s="591">
        <f t="shared" si="110"/>
        <v>0.7784807323</v>
      </c>
      <c r="F41" s="591">
        <f t="shared" si="110"/>
        <v>0.3927617197</v>
      </c>
      <c r="G41" s="591">
        <f t="shared" si="110"/>
        <v>0.0897174483</v>
      </c>
      <c r="H41" s="591"/>
      <c r="I41" s="591">
        <f t="shared" si="90"/>
        <v>0.1311298787</v>
      </c>
      <c r="J41" s="149">
        <v>1.0</v>
      </c>
      <c r="K41" s="591">
        <f t="shared" ref="K41:V41" si="111">($B41*(K$28-1))/($B41*(K$28-1)+1)</f>
        <v>0.2890456148</v>
      </c>
      <c r="L41" s="591">
        <f t="shared" si="111"/>
        <v>0.2282044949</v>
      </c>
      <c r="M41" s="591">
        <f t="shared" si="111"/>
        <v>0.4360096555</v>
      </c>
      <c r="N41" s="591">
        <f t="shared" si="111"/>
        <v>0.4060911294</v>
      </c>
      <c r="O41" s="591">
        <f t="shared" si="111"/>
        <v>0.3356011481</v>
      </c>
      <c r="P41" s="591">
        <f t="shared" si="111"/>
        <v>0.03849851929</v>
      </c>
      <c r="Q41" s="591">
        <f t="shared" si="111"/>
        <v>0.1559756921</v>
      </c>
      <c r="R41" s="591">
        <f t="shared" si="111"/>
        <v>0.1689382355</v>
      </c>
      <c r="S41" s="591">
        <f t="shared" si="111"/>
        <v>0.07939313596</v>
      </c>
      <c r="T41" s="591">
        <f t="shared" si="111"/>
        <v>0.2016350514</v>
      </c>
      <c r="U41" s="591">
        <f t="shared" si="111"/>
        <v>0.1937044443</v>
      </c>
      <c r="V41" s="592">
        <f t="shared" si="111"/>
        <v>0.304280069</v>
      </c>
    </row>
    <row r="42" ht="15.75" customHeight="1">
      <c r="A42" s="421" t="s">
        <v>398</v>
      </c>
      <c r="B42" s="590">
        <v>0.308</v>
      </c>
      <c r="C42" s="591">
        <f t="shared" ref="C42:G42" si="112">($B42*(C$28-1))/($B42*(C$28-1)+1)</f>
        <v>0.1937044443</v>
      </c>
      <c r="D42" s="591">
        <f t="shared" si="112"/>
        <v>0.3579371806</v>
      </c>
      <c r="E42" s="591">
        <f t="shared" si="112"/>
        <v>0.7784807323</v>
      </c>
      <c r="F42" s="591">
        <f t="shared" si="112"/>
        <v>0.3927617197</v>
      </c>
      <c r="G42" s="591">
        <f t="shared" si="112"/>
        <v>0.0897174483</v>
      </c>
      <c r="H42" s="591"/>
      <c r="I42" s="591">
        <f t="shared" si="90"/>
        <v>0.1311298787</v>
      </c>
      <c r="J42" s="149">
        <v>1.0</v>
      </c>
      <c r="K42" s="591">
        <f t="shared" ref="K42:V42" si="113">($B42*(K$28-1))/($B42*(K$28-1)+1)</f>
        <v>0.2890456148</v>
      </c>
      <c r="L42" s="591">
        <f t="shared" si="113"/>
        <v>0.2282044949</v>
      </c>
      <c r="M42" s="591">
        <f t="shared" si="113"/>
        <v>0.4360096555</v>
      </c>
      <c r="N42" s="591">
        <f t="shared" si="113"/>
        <v>0.4060911294</v>
      </c>
      <c r="O42" s="591">
        <f t="shared" si="113"/>
        <v>0.3356011481</v>
      </c>
      <c r="P42" s="591">
        <f t="shared" si="113"/>
        <v>0.03849851929</v>
      </c>
      <c r="Q42" s="591">
        <f t="shared" si="113"/>
        <v>0.1559756921</v>
      </c>
      <c r="R42" s="591">
        <f t="shared" si="113"/>
        <v>0.1689382355</v>
      </c>
      <c r="S42" s="591">
        <f t="shared" si="113"/>
        <v>0.07939313596</v>
      </c>
      <c r="T42" s="591">
        <f t="shared" si="113"/>
        <v>0.2016350514</v>
      </c>
      <c r="U42" s="591">
        <f t="shared" si="113"/>
        <v>0.1937044443</v>
      </c>
      <c r="V42" s="592">
        <f t="shared" si="113"/>
        <v>0.304280069</v>
      </c>
    </row>
    <row r="43" ht="15.75" customHeight="1">
      <c r="A43" s="421" t="s">
        <v>502</v>
      </c>
      <c r="B43" s="590">
        <v>0.268</v>
      </c>
      <c r="C43" s="591">
        <f t="shared" ref="C43:G43" si="114">($B43*(C$28-1))/($B43*(C$28-1)+1)</f>
        <v>0.1728975055</v>
      </c>
      <c r="D43" s="591">
        <f t="shared" si="114"/>
        <v>0.3266356021</v>
      </c>
      <c r="E43" s="591">
        <f t="shared" si="114"/>
        <v>0.7535659014</v>
      </c>
      <c r="F43" s="591">
        <f t="shared" si="114"/>
        <v>0.3601228564</v>
      </c>
      <c r="G43" s="591">
        <f t="shared" si="114"/>
        <v>0.07898614795</v>
      </c>
      <c r="H43" s="591"/>
      <c r="I43" s="591">
        <f t="shared" si="90"/>
        <v>0.1160767952</v>
      </c>
      <c r="J43" s="149">
        <v>1.0</v>
      </c>
      <c r="K43" s="591">
        <f t="shared" ref="K43:V43" si="115">($B43*(K$28-1))/($B43*(K$28-1)+1)</f>
        <v>0.2613166292</v>
      </c>
      <c r="L43" s="591">
        <f t="shared" si="115"/>
        <v>0.2046322219</v>
      </c>
      <c r="M43" s="591">
        <f t="shared" si="115"/>
        <v>0.4021570175</v>
      </c>
      <c r="N43" s="591">
        <f t="shared" si="115"/>
        <v>0.3730250288</v>
      </c>
      <c r="O43" s="591">
        <f t="shared" si="115"/>
        <v>0.3053239969</v>
      </c>
      <c r="P43" s="591">
        <f t="shared" si="115"/>
        <v>0.03366704032</v>
      </c>
      <c r="Q43" s="591">
        <f t="shared" si="115"/>
        <v>0.1385251551</v>
      </c>
      <c r="R43" s="591">
        <f t="shared" si="115"/>
        <v>0.1502956971</v>
      </c>
      <c r="S43" s="591">
        <f t="shared" si="115"/>
        <v>0.06980205388</v>
      </c>
      <c r="T43" s="591">
        <f t="shared" si="115"/>
        <v>0.1801665901</v>
      </c>
      <c r="U43" s="591">
        <f t="shared" si="115"/>
        <v>0.1728975055</v>
      </c>
      <c r="V43" s="592">
        <f t="shared" si="115"/>
        <v>0.2756562554</v>
      </c>
    </row>
    <row r="44" ht="15.75" customHeight="1">
      <c r="A44" s="421" t="s">
        <v>503</v>
      </c>
      <c r="B44" s="590">
        <v>0.24833333333333332</v>
      </c>
      <c r="C44" s="591">
        <f t="shared" ref="C44:G44" si="116">($B44*(C$28-1))/($B44*(C$28-1)+1)</f>
        <v>0.1622685767</v>
      </c>
      <c r="D44" s="591">
        <f t="shared" si="116"/>
        <v>0.3100990008</v>
      </c>
      <c r="E44" s="591">
        <f t="shared" si="116"/>
        <v>0.7391406423</v>
      </c>
      <c r="F44" s="591">
        <f t="shared" si="116"/>
        <v>0.3427538613</v>
      </c>
      <c r="G44" s="591">
        <f t="shared" si="116"/>
        <v>0.07361660079</v>
      </c>
      <c r="H44" s="591"/>
      <c r="I44" s="591">
        <f t="shared" si="90"/>
        <v>0.1084827863</v>
      </c>
      <c r="J44" s="149">
        <v>1.0</v>
      </c>
      <c r="K44" s="591">
        <f t="shared" ref="K44:V44" si="117">($B44*(K$28-1))/($B44*(K$28-1)+1)</f>
        <v>0.2468745293</v>
      </c>
      <c r="L44" s="591">
        <f t="shared" si="117"/>
        <v>0.1925064599</v>
      </c>
      <c r="M44" s="591">
        <f t="shared" si="117"/>
        <v>0.3839772482</v>
      </c>
      <c r="N44" s="591">
        <f t="shared" si="117"/>
        <v>0.3553793592</v>
      </c>
      <c r="O44" s="591">
        <f t="shared" si="117"/>
        <v>0.2894026245</v>
      </c>
      <c r="P44" s="591">
        <f t="shared" si="117"/>
        <v>0.03127371361</v>
      </c>
      <c r="Q44" s="591">
        <f t="shared" si="117"/>
        <v>0.1296779809</v>
      </c>
      <c r="R44" s="591">
        <f t="shared" si="117"/>
        <v>0.140819658</v>
      </c>
      <c r="S44" s="591">
        <f t="shared" si="117"/>
        <v>0.06501277816</v>
      </c>
      <c r="T44" s="591">
        <f t="shared" si="117"/>
        <v>0.1691821983</v>
      </c>
      <c r="U44" s="591">
        <f t="shared" si="117"/>
        <v>0.1622685767</v>
      </c>
      <c r="V44" s="592">
        <f t="shared" si="117"/>
        <v>0.260701348</v>
      </c>
    </row>
    <row r="45" ht="15.75" customHeight="1">
      <c r="A45" s="421" t="s">
        <v>459</v>
      </c>
      <c r="B45" s="590">
        <v>0.209</v>
      </c>
      <c r="C45" s="591">
        <f t="shared" ref="C45:G45" si="118">($B45*(C$28-1))/($B45*(C$28-1)+1)</f>
        <v>0.1401695586</v>
      </c>
      <c r="D45" s="591">
        <f t="shared" si="118"/>
        <v>0.2744632842</v>
      </c>
      <c r="E45" s="591">
        <f t="shared" si="118"/>
        <v>0.7045519678</v>
      </c>
      <c r="F45" s="591">
        <f t="shared" si="118"/>
        <v>0.3050246716</v>
      </c>
      <c r="G45" s="591">
        <f t="shared" si="118"/>
        <v>0.06268746251</v>
      </c>
      <c r="H45" s="591"/>
      <c r="I45" s="591">
        <f t="shared" si="90"/>
        <v>0.09289647227</v>
      </c>
      <c r="J45" s="149">
        <v>1.0</v>
      </c>
      <c r="K45" s="591">
        <f t="shared" ref="K45:V45" si="119">($B45*(K$28-1))/($B45*(K$28-1)+1)</f>
        <v>0.2162272314</v>
      </c>
      <c r="L45" s="591">
        <f t="shared" si="119"/>
        <v>0.1671108742</v>
      </c>
      <c r="M45" s="591">
        <f t="shared" si="119"/>
        <v>0.344085951</v>
      </c>
      <c r="N45" s="591">
        <f t="shared" si="119"/>
        <v>0.3169305592</v>
      </c>
      <c r="O45" s="591">
        <f t="shared" si="119"/>
        <v>0.2552652745</v>
      </c>
      <c r="P45" s="591">
        <f t="shared" si="119"/>
        <v>0.0264513177</v>
      </c>
      <c r="Q45" s="591">
        <f t="shared" si="119"/>
        <v>0.1114270482</v>
      </c>
      <c r="R45" s="591">
        <f t="shared" si="119"/>
        <v>0.1212190449</v>
      </c>
      <c r="S45" s="591">
        <f t="shared" si="119"/>
        <v>0.05528473718</v>
      </c>
      <c r="T45" s="591">
        <f t="shared" si="119"/>
        <v>0.1463060663</v>
      </c>
      <c r="U45" s="591">
        <f t="shared" si="119"/>
        <v>0.1401695586</v>
      </c>
      <c r="V45" s="592">
        <f t="shared" si="119"/>
        <v>0.2288591743</v>
      </c>
    </row>
    <row r="46" ht="15.75" customHeight="1">
      <c r="A46" s="430" t="s">
        <v>504</v>
      </c>
      <c r="B46" s="593">
        <v>0.21029186391704668</v>
      </c>
      <c r="C46" s="594">
        <f t="shared" ref="C46:G46" si="120">($B46*(C$28-1))/($B46*(C$28-1)+1)</f>
        <v>0.1409138806</v>
      </c>
      <c r="D46" s="594">
        <f t="shared" si="120"/>
        <v>0.2756920751</v>
      </c>
      <c r="E46" s="594">
        <f t="shared" si="120"/>
        <v>0.7058330512</v>
      </c>
      <c r="F46" s="594">
        <f t="shared" si="120"/>
        <v>0.3063325182</v>
      </c>
      <c r="G46" s="594">
        <f t="shared" si="120"/>
        <v>0.06305051327</v>
      </c>
      <c r="H46" s="594"/>
      <c r="I46" s="594">
        <f t="shared" si="90"/>
        <v>0.09341704002</v>
      </c>
      <c r="J46" s="594">
        <v>1.0</v>
      </c>
      <c r="K46" s="594">
        <f t="shared" ref="K46:V46" si="121">($B46*(K$28-1))/($B46*(K$28-1)+1)</f>
        <v>0.2172733742</v>
      </c>
      <c r="L46" s="594">
        <f t="shared" si="121"/>
        <v>0.1679703111</v>
      </c>
      <c r="M46" s="594">
        <f t="shared" si="121"/>
        <v>0.3454780228</v>
      </c>
      <c r="N46" s="594">
        <f t="shared" si="121"/>
        <v>0.3182660764</v>
      </c>
      <c r="O46" s="594">
        <f t="shared" si="121"/>
        <v>0.2564384936</v>
      </c>
      <c r="P46" s="594">
        <f t="shared" si="121"/>
        <v>0.0266104669</v>
      </c>
      <c r="Q46" s="594">
        <f t="shared" si="121"/>
        <v>0.1120386308</v>
      </c>
      <c r="R46" s="594">
        <f t="shared" si="121"/>
        <v>0.1218770007</v>
      </c>
      <c r="S46" s="594">
        <f t="shared" si="121"/>
        <v>0.05560745896</v>
      </c>
      <c r="T46" s="594">
        <f t="shared" si="121"/>
        <v>0.1470774003</v>
      </c>
      <c r="U46" s="594">
        <f t="shared" si="121"/>
        <v>0.1409138806</v>
      </c>
      <c r="V46" s="595">
        <f t="shared" si="121"/>
        <v>0.229948502</v>
      </c>
    </row>
    <row r="47" ht="15.75" customHeight="1">
      <c r="B47" s="309"/>
      <c r="C47" s="37"/>
    </row>
    <row r="48" ht="15.75" customHeight="1">
      <c r="A48" s="578" t="s">
        <v>386</v>
      </c>
      <c r="B48" s="579"/>
      <c r="C48" s="579"/>
      <c r="D48" s="579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79"/>
      <c r="S48" s="579"/>
      <c r="T48" s="579"/>
      <c r="U48" s="579"/>
      <c r="V48" s="579"/>
      <c r="W48" s="579"/>
      <c r="X48" s="268"/>
      <c r="Y48" s="268"/>
      <c r="Z48" s="268"/>
    </row>
    <row r="49" ht="15.75" customHeight="1">
      <c r="B49" s="309"/>
      <c r="C49" s="309"/>
    </row>
    <row r="50" ht="15.75" customHeight="1">
      <c r="A50" s="580" t="s">
        <v>691</v>
      </c>
      <c r="B50" s="581"/>
      <c r="C50" s="582" t="s">
        <v>288</v>
      </c>
      <c r="D50" s="582" t="s">
        <v>405</v>
      </c>
      <c r="E50" s="583" t="s">
        <v>292</v>
      </c>
      <c r="F50" s="583" t="s">
        <v>294</v>
      </c>
      <c r="G50" s="582" t="s">
        <v>296</v>
      </c>
      <c r="H50" s="583" t="s">
        <v>298</v>
      </c>
      <c r="I50" s="582" t="s">
        <v>300</v>
      </c>
      <c r="J50" s="583" t="s">
        <v>89</v>
      </c>
      <c r="K50" s="582" t="s">
        <v>303</v>
      </c>
      <c r="L50" s="583" t="s">
        <v>305</v>
      </c>
      <c r="M50" s="582" t="s">
        <v>307</v>
      </c>
      <c r="N50" s="583" t="s">
        <v>406</v>
      </c>
      <c r="O50" s="582" t="s">
        <v>311</v>
      </c>
      <c r="P50" s="583" t="s">
        <v>313</v>
      </c>
      <c r="Q50" s="582" t="s">
        <v>315</v>
      </c>
      <c r="R50" s="583" t="s">
        <v>407</v>
      </c>
      <c r="S50" s="582" t="s">
        <v>319</v>
      </c>
      <c r="T50" s="583" t="s">
        <v>321</v>
      </c>
      <c r="U50" s="582" t="s">
        <v>323</v>
      </c>
      <c r="V50" s="584" t="s">
        <v>408</v>
      </c>
    </row>
    <row r="51" ht="15.75" customHeight="1">
      <c r="A51" s="585"/>
      <c r="B51" s="35" t="s">
        <v>677</v>
      </c>
      <c r="C51" s="557">
        <v>1.14</v>
      </c>
      <c r="D51" s="557">
        <v>2.27</v>
      </c>
      <c r="E51" s="557">
        <v>5.55</v>
      </c>
      <c r="F51" s="557">
        <v>1.51</v>
      </c>
      <c r="G51" s="37" t="s">
        <v>70</v>
      </c>
      <c r="H51" s="557">
        <v>1.07</v>
      </c>
      <c r="I51" s="557">
        <v>1.33</v>
      </c>
      <c r="J51" s="149">
        <v>1.0</v>
      </c>
      <c r="K51" s="557">
        <v>1.04</v>
      </c>
      <c r="L51" s="557">
        <v>2.76</v>
      </c>
      <c r="M51" s="557">
        <v>2.61</v>
      </c>
      <c r="N51" s="37" t="s">
        <v>70</v>
      </c>
      <c r="O51" s="557">
        <v>1.61</v>
      </c>
      <c r="P51" s="37" t="s">
        <v>70</v>
      </c>
      <c r="Q51" s="557">
        <v>1.65</v>
      </c>
      <c r="R51" s="557">
        <v>1.59</v>
      </c>
      <c r="S51" s="37" t="s">
        <v>70</v>
      </c>
      <c r="T51" s="557">
        <v>1.17</v>
      </c>
      <c r="U51" s="557">
        <v>1.24</v>
      </c>
      <c r="V51" s="557">
        <v>1.51</v>
      </c>
    </row>
    <row r="52" ht="15.75" customHeight="1">
      <c r="A52" s="586"/>
      <c r="B52" s="41" t="s">
        <v>678</v>
      </c>
      <c r="C52" s="279">
        <v>39.0</v>
      </c>
      <c r="D52" s="279">
        <v>43.0</v>
      </c>
      <c r="E52" s="279" t="s">
        <v>679</v>
      </c>
      <c r="F52" s="279">
        <v>34.0</v>
      </c>
      <c r="G52" s="279">
        <v>10.0</v>
      </c>
      <c r="H52" s="279" t="s">
        <v>680</v>
      </c>
      <c r="I52" s="279" t="s">
        <v>681</v>
      </c>
      <c r="J52" s="279" t="s">
        <v>682</v>
      </c>
      <c r="K52" s="279" t="s">
        <v>683</v>
      </c>
      <c r="L52" s="279">
        <v>42.0</v>
      </c>
      <c r="M52" s="279">
        <v>35.0</v>
      </c>
      <c r="N52" s="279" t="s">
        <v>684</v>
      </c>
      <c r="O52" s="279" t="s">
        <v>685</v>
      </c>
      <c r="P52" s="279" t="s">
        <v>686</v>
      </c>
      <c r="Q52" s="279" t="s">
        <v>687</v>
      </c>
      <c r="R52" s="587">
        <v>43480.0</v>
      </c>
      <c r="S52" s="588">
        <v>45158.0</v>
      </c>
      <c r="T52" s="279" t="s">
        <v>688</v>
      </c>
      <c r="U52" s="279">
        <v>36.0</v>
      </c>
      <c r="V52" s="280">
        <v>33.0</v>
      </c>
    </row>
    <row r="53" ht="15.75" customHeight="1">
      <c r="A53" s="589" t="s">
        <v>573</v>
      </c>
      <c r="B53" s="590">
        <v>0.03</v>
      </c>
      <c r="C53" s="591">
        <f t="shared" ref="C53:F53" si="122">($B53*(C$51-1))/($B53*(C$51-1)+1)</f>
        <v>0.004182433778</v>
      </c>
      <c r="D53" s="591">
        <f t="shared" si="122"/>
        <v>0.03670166651</v>
      </c>
      <c r="E53" s="591">
        <f t="shared" si="122"/>
        <v>0.1201055873</v>
      </c>
      <c r="F53" s="591">
        <f t="shared" si="122"/>
        <v>0.0150694376</v>
      </c>
      <c r="G53" s="591"/>
      <c r="H53" s="591">
        <f t="shared" ref="H53:I53" si="123">($B53*(H$51-1))/($B53*(H$51-1)+1)</f>
        <v>0.002095599242</v>
      </c>
      <c r="I53" s="591">
        <f t="shared" si="123"/>
        <v>0.009802950787</v>
      </c>
      <c r="J53" s="591">
        <v>1.0</v>
      </c>
      <c r="K53" s="591">
        <f t="shared" ref="K53:M53" si="124">($B53*(K$51-1))/($B53*(K$51-1)+1)</f>
        <v>0.001198561726</v>
      </c>
      <c r="L53" s="591">
        <f t="shared" si="124"/>
        <v>0.05015197568</v>
      </c>
      <c r="M53" s="591">
        <f t="shared" si="124"/>
        <v>0.04607459697</v>
      </c>
      <c r="N53" s="591"/>
      <c r="O53" s="591">
        <f t="shared" ref="O53:O69" si="130">($B53*(O$51-1))/($B53*(O$51-1)+1)</f>
        <v>0.01797112835</v>
      </c>
      <c r="P53" s="591"/>
      <c r="Q53" s="591">
        <f t="shared" ref="Q53:R53" si="125">($B53*(Q$51-1))/($B53*(Q$51-1)+1)</f>
        <v>0.01912702305</v>
      </c>
      <c r="R53" s="591">
        <f t="shared" si="125"/>
        <v>0.01739215879</v>
      </c>
      <c r="S53" s="591"/>
      <c r="T53" s="591">
        <f t="shared" ref="T53:V53" si="126">($B53*(T$51-1))/($B53*(T$51-1)+1)</f>
        <v>0.005074121978</v>
      </c>
      <c r="U53" s="591">
        <f t="shared" si="126"/>
        <v>0.00714853058</v>
      </c>
      <c r="V53" s="592">
        <f t="shared" si="126"/>
        <v>0.0150694376</v>
      </c>
    </row>
    <row r="54" ht="15.75" customHeight="1">
      <c r="A54" s="589" t="s">
        <v>574</v>
      </c>
      <c r="B54" s="590">
        <v>0.08</v>
      </c>
      <c r="C54" s="591">
        <f t="shared" ref="C54:F54" si="127">($B54*(C$51-1))/($B54*(C$51-1)+1)</f>
        <v>0.01107594937</v>
      </c>
      <c r="D54" s="591">
        <f t="shared" si="127"/>
        <v>0.09222948439</v>
      </c>
      <c r="E54" s="591">
        <f t="shared" si="127"/>
        <v>0.2668621701</v>
      </c>
      <c r="F54" s="591">
        <f t="shared" si="127"/>
        <v>0.03920061491</v>
      </c>
      <c r="G54" s="591"/>
      <c r="H54" s="591">
        <f t="shared" ref="H54:I54" si="128">($B54*(H$51-1))/($B54*(H$51-1)+1)</f>
        <v>0.005568814638</v>
      </c>
      <c r="I54" s="591">
        <f t="shared" si="128"/>
        <v>0.02572096648</v>
      </c>
      <c r="J54" s="591">
        <v>1.0</v>
      </c>
      <c r="K54" s="591">
        <f t="shared" ref="K54:M54" si="129">($B54*(K$51-1))/($B54*(K$51-1)+1)</f>
        <v>0.003189792663</v>
      </c>
      <c r="L54" s="591">
        <f t="shared" si="129"/>
        <v>0.1234221599</v>
      </c>
      <c r="M54" s="591">
        <f t="shared" si="129"/>
        <v>0.1141034727</v>
      </c>
      <c r="N54" s="591"/>
      <c r="O54" s="591">
        <f t="shared" si="130"/>
        <v>0.0465293669</v>
      </c>
      <c r="P54" s="591"/>
      <c r="Q54" s="591">
        <f t="shared" ref="Q54:R54" si="131">($B54*(Q$51-1))/($B54*(Q$51-1)+1)</f>
        <v>0.04942965779</v>
      </c>
      <c r="R54" s="591">
        <f t="shared" si="131"/>
        <v>0.04507257448</v>
      </c>
      <c r="S54" s="591"/>
      <c r="T54" s="591">
        <f t="shared" ref="T54:V54" si="132">($B54*(T$51-1))/($B54*(T$51-1)+1)</f>
        <v>0.0134175217</v>
      </c>
      <c r="U54" s="591">
        <f t="shared" si="132"/>
        <v>0.01883830455</v>
      </c>
      <c r="V54" s="592">
        <f t="shared" si="132"/>
        <v>0.03920061491</v>
      </c>
    </row>
    <row r="55" ht="15.75" customHeight="1">
      <c r="A55" s="589" t="s">
        <v>575</v>
      </c>
      <c r="B55" s="590">
        <v>0.1245</v>
      </c>
      <c r="C55" s="591">
        <f t="shared" ref="C55:F55" si="133">($B55*(C$51-1))/($B55*(C$51-1)+1)</f>
        <v>0.0171313997</v>
      </c>
      <c r="D55" s="591">
        <f t="shared" si="133"/>
        <v>0.1365278923</v>
      </c>
      <c r="E55" s="591">
        <f t="shared" si="133"/>
        <v>0.3616240285</v>
      </c>
      <c r="F55" s="591">
        <f t="shared" si="133"/>
        <v>0.05970408888</v>
      </c>
      <c r="G55" s="591"/>
      <c r="H55" s="591">
        <f t="shared" ref="H55:I55" si="134">($B55*(H$51-1))/($B55*(H$51-1)+1)</f>
        <v>0.008639704971</v>
      </c>
      <c r="I55" s="591">
        <f t="shared" si="134"/>
        <v>0.03946363649</v>
      </c>
      <c r="J55" s="591">
        <v>1.0</v>
      </c>
      <c r="K55" s="591">
        <f t="shared" ref="K55:M55" si="135">($B55*(K$51-1))/($B55*(K$51-1)+1)</f>
        <v>0.004955322494</v>
      </c>
      <c r="L55" s="591">
        <f t="shared" si="135"/>
        <v>0.1797362032</v>
      </c>
      <c r="M55" s="591">
        <f t="shared" si="135"/>
        <v>0.1669755799</v>
      </c>
      <c r="N55" s="591"/>
      <c r="O55" s="591">
        <f t="shared" si="130"/>
        <v>0.07058446296</v>
      </c>
      <c r="P55" s="591"/>
      <c r="Q55" s="591">
        <f t="shared" ref="Q55:R55" si="136">($B55*(Q$51-1))/($B55*(Q$51-1)+1)</f>
        <v>0.07486643384</v>
      </c>
      <c r="R55" s="591">
        <f t="shared" si="136"/>
        <v>0.06842857875</v>
      </c>
      <c r="S55" s="591"/>
      <c r="T55" s="591">
        <f t="shared" ref="T55:V55" si="137">($B55*(T$51-1))/($B55*(T$51-1)+1)</f>
        <v>0.02072632728</v>
      </c>
      <c r="U55" s="591">
        <f t="shared" si="137"/>
        <v>0.0290130889</v>
      </c>
      <c r="V55" s="592">
        <f t="shared" si="137"/>
        <v>0.05970408888</v>
      </c>
    </row>
    <row r="56" ht="15.75" customHeight="1">
      <c r="A56" s="589" t="s">
        <v>417</v>
      </c>
      <c r="B56" s="590">
        <v>0.044000000000000004</v>
      </c>
      <c r="C56" s="591">
        <f t="shared" ref="C56:F56" si="138">($B56*(C$51-1))/($B56*(C$51-1)+1)</f>
        <v>0.006122286714</v>
      </c>
      <c r="D56" s="591">
        <f t="shared" si="138"/>
        <v>0.05292268061</v>
      </c>
      <c r="E56" s="591">
        <f t="shared" si="138"/>
        <v>0.1668055324</v>
      </c>
      <c r="F56" s="591">
        <f t="shared" si="138"/>
        <v>0.02194749814</v>
      </c>
      <c r="G56" s="591"/>
      <c r="H56" s="591">
        <f t="shared" ref="H56:I56" si="139">($B56*(H$51-1))/($B56*(H$51-1)+1)</f>
        <v>0.003070542728</v>
      </c>
      <c r="I56" s="591">
        <f t="shared" si="139"/>
        <v>0.01431218704</v>
      </c>
      <c r="J56" s="591">
        <v>1.0</v>
      </c>
      <c r="K56" s="591">
        <f t="shared" ref="K56:M56" si="140">($B56*(K$51-1))/($B56*(K$51-1)+1)</f>
        <v>0.001756907842</v>
      </c>
      <c r="L56" s="591">
        <f t="shared" si="140"/>
        <v>0.07187407187</v>
      </c>
      <c r="M56" s="591">
        <f t="shared" si="140"/>
        <v>0.06615367375</v>
      </c>
      <c r="N56" s="591"/>
      <c r="O56" s="591">
        <f t="shared" si="130"/>
        <v>0.02613844416</v>
      </c>
      <c r="P56" s="591"/>
      <c r="Q56" s="591">
        <f t="shared" ref="Q56:R56" si="141">($B56*(Q$51-1))/($B56*(Q$51-1)+1)</f>
        <v>0.0278047832</v>
      </c>
      <c r="R56" s="591">
        <f t="shared" si="141"/>
        <v>0.02530313073</v>
      </c>
      <c r="S56" s="591"/>
      <c r="T56" s="591">
        <f t="shared" ref="T56:V56" si="142">($B56*(T$51-1))/($B56*(T$51-1)+1)</f>
        <v>0.007424465002</v>
      </c>
      <c r="U56" s="591">
        <f t="shared" si="142"/>
        <v>0.01044965168</v>
      </c>
      <c r="V56" s="592">
        <f t="shared" si="142"/>
        <v>0.02194749814</v>
      </c>
    </row>
    <row r="57" ht="15.75" customHeight="1">
      <c r="A57" s="589" t="s">
        <v>689</v>
      </c>
      <c r="B57" s="590">
        <v>0.07333333333333333</v>
      </c>
      <c r="C57" s="591">
        <f t="shared" ref="C57:F57" si="143">($B57*(C$51-1))/($B57*(C$51-1)+1)</f>
        <v>0.01016233338</v>
      </c>
      <c r="D57" s="591">
        <f t="shared" si="143"/>
        <v>0.08519851192</v>
      </c>
      <c r="E57" s="591">
        <f t="shared" si="143"/>
        <v>0.2501874531</v>
      </c>
      <c r="F57" s="591">
        <f t="shared" si="143"/>
        <v>0.03605166763</v>
      </c>
      <c r="G57" s="591"/>
      <c r="H57" s="591">
        <f t="shared" ref="H57:I57" si="144">($B57*(H$51-1))/($B57*(H$51-1)+1)</f>
        <v>0.0051071168</v>
      </c>
      <c r="I57" s="591">
        <f t="shared" si="144"/>
        <v>0.02362819762</v>
      </c>
      <c r="J57" s="591">
        <v>1.0</v>
      </c>
      <c r="K57" s="591">
        <f t="shared" ref="K57:M57" si="145">($B57*(K$51-1))/($B57*(K$51-1)+1)</f>
        <v>0.002924754055</v>
      </c>
      <c r="L57" s="591">
        <f t="shared" si="145"/>
        <v>0.1143127067</v>
      </c>
      <c r="M57" s="591">
        <f t="shared" si="145"/>
        <v>0.1055989506</v>
      </c>
      <c r="N57" s="591"/>
      <c r="O57" s="591">
        <f t="shared" si="130"/>
        <v>0.04281794397</v>
      </c>
      <c r="P57" s="591"/>
      <c r="Q57" s="591">
        <f t="shared" ref="Q57:R57" si="146">($B57*(Q$51-1))/($B57*(Q$51-1)+1)</f>
        <v>0.04549793191</v>
      </c>
      <c r="R57" s="591">
        <f t="shared" si="146"/>
        <v>0.04147229855</v>
      </c>
      <c r="S57" s="591"/>
      <c r="T57" s="591">
        <f t="shared" ref="T57:V57" si="147">($B57*(T$51-1))/($B57*(T$51-1)+1)</f>
        <v>0.01231316257</v>
      </c>
      <c r="U57" s="591">
        <f t="shared" si="147"/>
        <v>0.01729559748</v>
      </c>
      <c r="V57" s="592">
        <f t="shared" si="147"/>
        <v>0.03605166763</v>
      </c>
    </row>
    <row r="58" ht="15.75" customHeight="1">
      <c r="A58" s="589" t="s">
        <v>391</v>
      </c>
      <c r="B58" s="590">
        <v>0.11516666666666665</v>
      </c>
      <c r="C58" s="591">
        <f t="shared" ref="C58:F58" si="148">($B58*(C$51-1))/($B58*(C$51-1)+1)</f>
        <v>0.0158674964</v>
      </c>
      <c r="D58" s="591">
        <f t="shared" si="148"/>
        <v>0.1275988467</v>
      </c>
      <c r="E58" s="591">
        <f t="shared" si="148"/>
        <v>0.3438356089</v>
      </c>
      <c r="F58" s="591">
        <f t="shared" si="148"/>
        <v>0.0554765829</v>
      </c>
      <c r="G58" s="591"/>
      <c r="H58" s="591">
        <f t="shared" ref="H58:I58" si="149">($B58*(H$51-1))/($B58*(H$51-1)+1)</f>
        <v>0.007997195939</v>
      </c>
      <c r="I58" s="591">
        <f t="shared" si="149"/>
        <v>0.03661350379</v>
      </c>
      <c r="J58" s="591">
        <v>1.0</v>
      </c>
      <c r="K58" s="591">
        <f t="shared" ref="K58:M58" si="150">($B58*(K$51-1))/($B58*(K$51-1)+1)</f>
        <v>0.0045855426</v>
      </c>
      <c r="L58" s="591">
        <f t="shared" si="150"/>
        <v>0.1685328485</v>
      </c>
      <c r="M58" s="591">
        <f t="shared" si="150"/>
        <v>0.1564159488</v>
      </c>
      <c r="N58" s="591"/>
      <c r="O58" s="591">
        <f t="shared" si="130"/>
        <v>0.06564032447</v>
      </c>
      <c r="P58" s="591"/>
      <c r="Q58" s="591">
        <f t="shared" ref="Q58:R58" si="151">($B58*(Q$51-1))/($B58*(Q$51-1)+1)</f>
        <v>0.06964483692</v>
      </c>
      <c r="R58" s="591">
        <f t="shared" si="151"/>
        <v>0.06362511295</v>
      </c>
      <c r="S58" s="591"/>
      <c r="T58" s="591">
        <f t="shared" ref="T58:V58" si="152">($B58*(T$51-1))/($B58*(T$51-1)+1)</f>
        <v>0.01920238268</v>
      </c>
      <c r="U58" s="591">
        <f t="shared" si="152"/>
        <v>0.02689657857</v>
      </c>
      <c r="V58" s="592">
        <f t="shared" si="152"/>
        <v>0.0554765829</v>
      </c>
    </row>
    <row r="59" ht="15.75" customHeight="1">
      <c r="A59" s="589" t="s">
        <v>392</v>
      </c>
      <c r="B59" s="590">
        <v>0.16349999999999998</v>
      </c>
      <c r="C59" s="591">
        <f t="shared" ref="C59:F59" si="153">($B59*(C$51-1))/($B59*(C$51-1)+1)</f>
        <v>0.02237777278</v>
      </c>
      <c r="D59" s="591">
        <f t="shared" si="153"/>
        <v>0.1719420856</v>
      </c>
      <c r="E59" s="591">
        <f t="shared" si="153"/>
        <v>0.4265808449</v>
      </c>
      <c r="F59" s="591">
        <f t="shared" si="153"/>
        <v>0.07696709849</v>
      </c>
      <c r="G59" s="591"/>
      <c r="H59" s="591">
        <f t="shared" ref="H59:I59" si="154">($B59*(H$51-1))/($B59*(H$51-1)+1)</f>
        <v>0.01131549417</v>
      </c>
      <c r="I59" s="591">
        <f t="shared" si="154"/>
        <v>0.05119288774</v>
      </c>
      <c r="J59" s="591">
        <v>1.0</v>
      </c>
      <c r="K59" s="591">
        <f t="shared" ref="K59:M59" si="155">($B59*(K$51-1))/($B59*(K$51-1)+1)</f>
        <v>0.006497506309</v>
      </c>
      <c r="L59" s="591">
        <f t="shared" si="155"/>
        <v>0.2234577872</v>
      </c>
      <c r="M59" s="591">
        <f t="shared" si="155"/>
        <v>0.208381655</v>
      </c>
      <c r="N59" s="591"/>
      <c r="O59" s="591">
        <f t="shared" si="130"/>
        <v>0.09069002987</v>
      </c>
      <c r="P59" s="591"/>
      <c r="Q59" s="591">
        <f t="shared" ref="Q59:R59" si="156">($B59*(Q$51-1))/($B59*(Q$51-1)+1)</f>
        <v>0.09606562564</v>
      </c>
      <c r="R59" s="591">
        <f t="shared" si="156"/>
        <v>0.08797818444</v>
      </c>
      <c r="S59" s="591"/>
      <c r="T59" s="591">
        <f t="shared" ref="T59:V59" si="157">($B59*(T$51-1))/($B59*(T$51-1)+1)</f>
        <v>0.02704333063</v>
      </c>
      <c r="U59" s="591">
        <f t="shared" si="157"/>
        <v>0.03775836188</v>
      </c>
      <c r="V59" s="592">
        <f t="shared" si="157"/>
        <v>0.07696709849</v>
      </c>
    </row>
    <row r="60" ht="15.75" customHeight="1">
      <c r="A60" s="589" t="s">
        <v>393</v>
      </c>
      <c r="B60" s="590">
        <v>0.228</v>
      </c>
      <c r="C60" s="591">
        <f t="shared" ref="C60:F60" si="158">($B60*(C$51-1))/($B60*(C$51-1)+1)</f>
        <v>0.03093263044</v>
      </c>
      <c r="D60" s="591">
        <f t="shared" si="158"/>
        <v>0.2245417041</v>
      </c>
      <c r="E60" s="591">
        <f t="shared" si="158"/>
        <v>0.5091783646</v>
      </c>
      <c r="F60" s="591">
        <f t="shared" si="158"/>
        <v>0.1041674132</v>
      </c>
      <c r="G60" s="591"/>
      <c r="H60" s="591">
        <f t="shared" ref="H60:I60" si="159">($B60*(H$51-1))/($B60*(H$51-1)+1)</f>
        <v>0.01570927989</v>
      </c>
      <c r="I60" s="591">
        <f t="shared" si="159"/>
        <v>0.06997507533</v>
      </c>
      <c r="J60" s="591">
        <v>1.0</v>
      </c>
      <c r="K60" s="591">
        <f t="shared" ref="K60:M60" si="160">($B60*(K$51-1))/($B60*(K$51-1)+1)</f>
        <v>0.009037577295</v>
      </c>
      <c r="L60" s="591">
        <f t="shared" si="160"/>
        <v>0.2863667504</v>
      </c>
      <c r="M60" s="591">
        <f t="shared" si="160"/>
        <v>0.2685139129</v>
      </c>
      <c r="N60" s="591"/>
      <c r="O60" s="591">
        <f t="shared" si="130"/>
        <v>0.1220985357</v>
      </c>
      <c r="P60" s="591"/>
      <c r="Q60" s="591">
        <f t="shared" ref="Q60:R60" si="161">($B60*(Q$51-1))/($B60*(Q$51-1)+1)</f>
        <v>0.1290715903</v>
      </c>
      <c r="R60" s="591">
        <f t="shared" si="161"/>
        <v>0.1185699679</v>
      </c>
      <c r="S60" s="591"/>
      <c r="T60" s="591">
        <f t="shared" ref="T60:V60" si="162">($B60*(T$51-1))/($B60*(T$51-1)+1)</f>
        <v>0.0373137202</v>
      </c>
      <c r="U60" s="591">
        <f t="shared" si="162"/>
        <v>0.05188106796</v>
      </c>
      <c r="V60" s="592">
        <f t="shared" si="162"/>
        <v>0.1041674132</v>
      </c>
    </row>
    <row r="61" ht="15.75" customHeight="1">
      <c r="A61" s="589" t="s">
        <v>394</v>
      </c>
      <c r="B61" s="590">
        <v>0.27166666666666667</v>
      </c>
      <c r="C61" s="591">
        <f t="shared" ref="C61:F61" si="163">($B61*(C$51-1))/($B61*(C$51-1)+1)</f>
        <v>0.03663979962</v>
      </c>
      <c r="D61" s="591">
        <f t="shared" si="163"/>
        <v>0.2565147892</v>
      </c>
      <c r="E61" s="591">
        <f t="shared" si="163"/>
        <v>0.5527894756</v>
      </c>
      <c r="F61" s="591">
        <f t="shared" si="163"/>
        <v>0.1216898687</v>
      </c>
      <c r="G61" s="591"/>
      <c r="H61" s="591">
        <f t="shared" ref="H61:I61" si="164">($B61*(H$51-1))/($B61*(H$51-1)+1)</f>
        <v>0.01866178178</v>
      </c>
      <c r="I61" s="591">
        <f t="shared" si="164"/>
        <v>0.08227412472</v>
      </c>
      <c r="J61" s="591">
        <v>1.0</v>
      </c>
      <c r="K61" s="591">
        <f t="shared" ref="K61:M61" si="165">($B61*(K$51-1))/($B61*(K$51-1)+1)</f>
        <v>0.01074985161</v>
      </c>
      <c r="L61" s="591">
        <f t="shared" si="165"/>
        <v>0.3234710446</v>
      </c>
      <c r="M61" s="591">
        <f t="shared" si="165"/>
        <v>0.3042913628</v>
      </c>
      <c r="N61" s="591"/>
      <c r="O61" s="591">
        <f t="shared" si="130"/>
        <v>0.1421586149</v>
      </c>
      <c r="P61" s="591"/>
      <c r="Q61" s="591">
        <f t="shared" ref="Q61:R61" si="166">($B61*(Q$51-1))/($B61*(Q$51-1)+1)</f>
        <v>0.1500814505</v>
      </c>
      <c r="R61" s="591">
        <f t="shared" si="166"/>
        <v>0.1381415459</v>
      </c>
      <c r="S61" s="591"/>
      <c r="T61" s="591">
        <f t="shared" ref="T61:V61" si="167">($B61*(T$51-1))/($B61*(T$51-1)+1)</f>
        <v>0.04414458906</v>
      </c>
      <c r="U61" s="591">
        <f t="shared" si="167"/>
        <v>0.0612091626</v>
      </c>
      <c r="V61" s="592">
        <f t="shared" si="167"/>
        <v>0.1216898687</v>
      </c>
    </row>
    <row r="62" ht="15.75" customHeight="1">
      <c r="A62" s="589" t="s">
        <v>395</v>
      </c>
      <c r="B62" s="590">
        <v>0.3158333333333333</v>
      </c>
      <c r="C62" s="591">
        <f t="shared" ref="C62:F62" si="168">($B62*(C$51-1))/($B62*(C$51-1)+1)</f>
        <v>0.04234434105</v>
      </c>
      <c r="D62" s="591">
        <f t="shared" si="168"/>
        <v>0.2862793146</v>
      </c>
      <c r="E62" s="591">
        <f t="shared" si="168"/>
        <v>0.589666433</v>
      </c>
      <c r="F62" s="591">
        <f t="shared" si="168"/>
        <v>0.1387291949</v>
      </c>
      <c r="G62" s="591"/>
      <c r="H62" s="591">
        <f t="shared" ref="H62:I62" si="169">($B62*(H$51-1))/($B62*(H$51-1)+1)</f>
        <v>0.02163012727</v>
      </c>
      <c r="I62" s="591">
        <f t="shared" si="169"/>
        <v>0.09438746632</v>
      </c>
      <c r="J62" s="591">
        <v>1.0</v>
      </c>
      <c r="K62" s="591">
        <f t="shared" ref="K62:M62" si="170">($B62*(K$51-1))/($B62*(K$51-1)+1)</f>
        <v>0.01247572336</v>
      </c>
      <c r="L62" s="591">
        <f t="shared" si="170"/>
        <v>0.3572714029</v>
      </c>
      <c r="M62" s="591">
        <f t="shared" si="170"/>
        <v>0.3370861622</v>
      </c>
      <c r="N62" s="591"/>
      <c r="O62" s="591">
        <f t="shared" si="130"/>
        <v>0.1615369029</v>
      </c>
      <c r="P62" s="591"/>
      <c r="Q62" s="591">
        <f t="shared" ref="Q62:R62" si="171">($B62*(Q$51-1))/($B62*(Q$51-1)+1)</f>
        <v>0.1703253016</v>
      </c>
      <c r="R62" s="591">
        <f t="shared" si="171"/>
        <v>0.1570725128</v>
      </c>
      <c r="S62" s="591"/>
      <c r="T62" s="591">
        <f t="shared" ref="T62:V62" si="172">($B62*(T$51-1))/($B62*(T$51-1)+1)</f>
        <v>0.05095576663</v>
      </c>
      <c r="U62" s="591">
        <f t="shared" si="172"/>
        <v>0.07045919316</v>
      </c>
      <c r="V62" s="592">
        <f t="shared" si="172"/>
        <v>0.1387291949</v>
      </c>
    </row>
    <row r="63" ht="15.75" customHeight="1">
      <c r="A63" s="589" t="s">
        <v>396</v>
      </c>
      <c r="B63" s="590">
        <v>0.36349999999999993</v>
      </c>
      <c r="C63" s="591">
        <f t="shared" ref="C63:F63" si="173">($B63*(C$51-1))/($B63*(C$51-1)+1)</f>
        <v>0.04842562019</v>
      </c>
      <c r="D63" s="591">
        <f t="shared" si="173"/>
        <v>0.3158393454</v>
      </c>
      <c r="E63" s="591">
        <f t="shared" si="173"/>
        <v>0.6231996006</v>
      </c>
      <c r="F63" s="591">
        <f t="shared" si="173"/>
        <v>0.156392227</v>
      </c>
      <c r="G63" s="591"/>
      <c r="H63" s="591">
        <f t="shared" ref="H63:I63" si="174">($B63*(H$51-1))/($B63*(H$51-1)+1)</f>
        <v>0.0248136175</v>
      </c>
      <c r="I63" s="591">
        <f t="shared" si="174"/>
        <v>0.107106982</v>
      </c>
      <c r="J63" s="591">
        <v>1.0</v>
      </c>
      <c r="K63" s="591">
        <f t="shared" ref="K63:M63" si="175">($B63*(K$51-1))/($B63*(K$51-1)+1)</f>
        <v>0.01433161827</v>
      </c>
      <c r="L63" s="591">
        <f t="shared" si="175"/>
        <v>0.3901546568</v>
      </c>
      <c r="M63" s="591">
        <f t="shared" si="175"/>
        <v>0.3691787022</v>
      </c>
      <c r="N63" s="591"/>
      <c r="O63" s="591">
        <f t="shared" si="130"/>
        <v>0.1814918947</v>
      </c>
      <c r="P63" s="591"/>
      <c r="Q63" s="591">
        <f t="shared" ref="Q63:R63" si="176">($B63*(Q$51-1))/($B63*(Q$51-1)+1)</f>
        <v>0.1911184809</v>
      </c>
      <c r="R63" s="591">
        <f t="shared" si="176"/>
        <v>0.176592162</v>
      </c>
      <c r="S63" s="591"/>
      <c r="T63" s="591">
        <f t="shared" ref="T63:V63" si="177">($B63*(T$51-1))/($B63*(T$51-1)+1)</f>
        <v>0.05819861649</v>
      </c>
      <c r="U63" s="591">
        <f t="shared" si="177"/>
        <v>0.08023987344</v>
      </c>
      <c r="V63" s="592">
        <f t="shared" si="177"/>
        <v>0.156392227</v>
      </c>
    </row>
    <row r="64" ht="15.75" customHeight="1">
      <c r="A64" s="589" t="s">
        <v>397</v>
      </c>
      <c r="B64" s="590">
        <v>0.3685</v>
      </c>
      <c r="C64" s="591">
        <f t="shared" ref="C64:F64" si="178">($B64*(C$51-1))/($B64*(C$51-1)+1)</f>
        <v>0.04905904392</v>
      </c>
      <c r="D64" s="591">
        <f t="shared" si="178"/>
        <v>0.3187987698</v>
      </c>
      <c r="E64" s="591">
        <f t="shared" si="178"/>
        <v>0.6264021594</v>
      </c>
      <c r="F64" s="591">
        <f t="shared" si="178"/>
        <v>0.1582031003</v>
      </c>
      <c r="G64" s="591"/>
      <c r="H64" s="591">
        <f t="shared" ref="H64:I64" si="179">($B64*(H$51-1))/($B64*(H$51-1)+1)</f>
        <v>0.0251463499</v>
      </c>
      <c r="I64" s="591">
        <f t="shared" si="179"/>
        <v>0.1084205224</v>
      </c>
      <c r="J64" s="591">
        <v>1.0</v>
      </c>
      <c r="K64" s="591">
        <f t="shared" ref="K64:M64" si="180">($B64*(K$51-1))/($B64*(K$51-1)+1)</f>
        <v>0.0145258884</v>
      </c>
      <c r="L64" s="591">
        <f t="shared" si="180"/>
        <v>0.3934100063</v>
      </c>
      <c r="M64" s="591">
        <f t="shared" si="180"/>
        <v>0.3723658981</v>
      </c>
      <c r="N64" s="591"/>
      <c r="O64" s="591">
        <f t="shared" si="130"/>
        <v>0.1835301706</v>
      </c>
      <c r="P64" s="591"/>
      <c r="Q64" s="591">
        <f t="shared" ref="Q64:R64" si="181">($B64*(Q$51-1))/($B64*(Q$51-1)+1)</f>
        <v>0.1932393457</v>
      </c>
      <c r="R64" s="591">
        <f t="shared" si="181"/>
        <v>0.1785874168</v>
      </c>
      <c r="S64" s="591"/>
      <c r="T64" s="591">
        <f t="shared" ref="T64:V64" si="182">($B64*(T$51-1))/($B64*(T$51-1)+1)</f>
        <v>0.05895195479</v>
      </c>
      <c r="U64" s="591">
        <f t="shared" si="182"/>
        <v>0.08125390467</v>
      </c>
      <c r="V64" s="592">
        <f t="shared" si="182"/>
        <v>0.1582031003</v>
      </c>
    </row>
    <row r="65" ht="15.75" customHeight="1">
      <c r="A65" s="589" t="s">
        <v>398</v>
      </c>
      <c r="B65" s="590">
        <v>0.3685</v>
      </c>
      <c r="C65" s="591">
        <f t="shared" ref="C65:F65" si="183">($B65*(C$51-1))/($B65*(C$51-1)+1)</f>
        <v>0.04905904392</v>
      </c>
      <c r="D65" s="591">
        <f t="shared" si="183"/>
        <v>0.3187987698</v>
      </c>
      <c r="E65" s="591">
        <f t="shared" si="183"/>
        <v>0.6264021594</v>
      </c>
      <c r="F65" s="591">
        <f t="shared" si="183"/>
        <v>0.1582031003</v>
      </c>
      <c r="G65" s="591"/>
      <c r="H65" s="591">
        <f t="shared" ref="H65:I65" si="184">($B65*(H$51-1))/($B65*(H$51-1)+1)</f>
        <v>0.0251463499</v>
      </c>
      <c r="I65" s="591">
        <f t="shared" si="184"/>
        <v>0.1084205224</v>
      </c>
      <c r="J65" s="591">
        <v>1.0</v>
      </c>
      <c r="K65" s="591">
        <f t="shared" ref="K65:M65" si="185">($B65*(K$51-1))/($B65*(K$51-1)+1)</f>
        <v>0.0145258884</v>
      </c>
      <c r="L65" s="591">
        <f t="shared" si="185"/>
        <v>0.3934100063</v>
      </c>
      <c r="M65" s="591">
        <f t="shared" si="185"/>
        <v>0.3723658981</v>
      </c>
      <c r="N65" s="591"/>
      <c r="O65" s="591">
        <f t="shared" si="130"/>
        <v>0.1835301706</v>
      </c>
      <c r="P65" s="591"/>
      <c r="Q65" s="591">
        <f t="shared" ref="Q65:R65" si="186">($B65*(Q$51-1))/($B65*(Q$51-1)+1)</f>
        <v>0.1932393457</v>
      </c>
      <c r="R65" s="591">
        <f t="shared" si="186"/>
        <v>0.1785874168</v>
      </c>
      <c r="S65" s="591"/>
      <c r="T65" s="591">
        <f t="shared" ref="T65:V65" si="187">($B65*(T$51-1))/($B65*(T$51-1)+1)</f>
        <v>0.05895195479</v>
      </c>
      <c r="U65" s="591">
        <f t="shared" si="187"/>
        <v>0.08125390467</v>
      </c>
      <c r="V65" s="592">
        <f t="shared" si="187"/>
        <v>0.1582031003</v>
      </c>
    </row>
    <row r="66" ht="15.75" customHeight="1">
      <c r="A66" s="421" t="s">
        <v>502</v>
      </c>
      <c r="B66" s="590">
        <v>0.285</v>
      </c>
      <c r="C66" s="591">
        <f t="shared" ref="C66:F66" si="188">($B66*(C$51-1))/($B66*(C$51-1)+1)</f>
        <v>0.03836907395</v>
      </c>
      <c r="D66" s="591">
        <f t="shared" si="188"/>
        <v>0.2657586549</v>
      </c>
      <c r="E66" s="591">
        <f t="shared" si="188"/>
        <v>0.5646021552</v>
      </c>
      <c r="F66" s="591">
        <f t="shared" si="188"/>
        <v>0.1269044397</v>
      </c>
      <c r="G66" s="591"/>
      <c r="H66" s="591">
        <f t="shared" ref="H66:I66" si="189">($B66*(H$51-1))/($B66*(H$51-1)+1)</f>
        <v>0.01955978234</v>
      </c>
      <c r="I66" s="591">
        <f t="shared" si="189"/>
        <v>0.08596499246</v>
      </c>
      <c r="J66" s="591">
        <v>1.0</v>
      </c>
      <c r="K66" s="591">
        <f t="shared" ref="K66:M66" si="190">($B66*(K$51-1))/($B66*(K$51-1)+1)</f>
        <v>0.01127150484</v>
      </c>
      <c r="L66" s="591">
        <f t="shared" si="190"/>
        <v>0.3340436867</v>
      </c>
      <c r="M66" s="591">
        <f t="shared" si="190"/>
        <v>0.314528567</v>
      </c>
      <c r="N66" s="591"/>
      <c r="O66" s="591">
        <f t="shared" si="130"/>
        <v>0.1481023981</v>
      </c>
      <c r="P66" s="591"/>
      <c r="Q66" s="591">
        <f t="shared" ref="Q66:R66" si="191">($B66*(Q$51-1))/($B66*(Q$51-1)+1)</f>
        <v>0.1562961401</v>
      </c>
      <c r="R66" s="591">
        <f t="shared" si="191"/>
        <v>0.1439455549</v>
      </c>
      <c r="S66" s="591"/>
      <c r="T66" s="591">
        <f t="shared" ref="T66:V66" si="192">($B66*(T$51-1))/($B66*(T$51-1)+1)</f>
        <v>0.04621107349</v>
      </c>
      <c r="U66" s="591">
        <f t="shared" si="192"/>
        <v>0.06402096593</v>
      </c>
      <c r="V66" s="592">
        <f t="shared" si="192"/>
        <v>0.1269044397</v>
      </c>
    </row>
    <row r="67" ht="15.75" customHeight="1">
      <c r="A67" s="421" t="s">
        <v>503</v>
      </c>
      <c r="B67" s="590">
        <v>0.25733333333333336</v>
      </c>
      <c r="C67" s="591">
        <f t="shared" ref="C67:F67" si="193">($B67*(C$51-1))/($B67*(C$51-1)+1)</f>
        <v>0.03477387969</v>
      </c>
      <c r="D67" s="591">
        <f t="shared" si="193"/>
        <v>0.2463144778</v>
      </c>
      <c r="E67" s="591">
        <f t="shared" si="193"/>
        <v>0.5393544821</v>
      </c>
      <c r="F67" s="591">
        <f t="shared" si="193"/>
        <v>0.1160142852</v>
      </c>
      <c r="G67" s="591"/>
      <c r="H67" s="591">
        <f t="shared" ref="H67:I67" si="194">($B67*(H$51-1))/($B67*(H$51-1)+1)</f>
        <v>0.0176945947</v>
      </c>
      <c r="I67" s="591">
        <f t="shared" si="194"/>
        <v>0.07827305239</v>
      </c>
      <c r="J67" s="591">
        <v>1.0</v>
      </c>
      <c r="K67" s="591">
        <f t="shared" ref="K67:M67" si="195">($B67*(K$51-1))/($B67*(K$51-1)+1)</f>
        <v>0.01018846012</v>
      </c>
      <c r="L67" s="591">
        <f t="shared" si="195"/>
        <v>0.311724543</v>
      </c>
      <c r="M67" s="591">
        <f t="shared" si="195"/>
        <v>0.2929397679</v>
      </c>
      <c r="N67" s="591"/>
      <c r="O67" s="591">
        <f t="shared" si="130"/>
        <v>0.1356758439</v>
      </c>
      <c r="P67" s="591"/>
      <c r="Q67" s="591">
        <f t="shared" ref="Q67:R67" si="196">($B67*(Q$51-1))/($B67*(Q$51-1)+1)</f>
        <v>0.1432977326</v>
      </c>
      <c r="R67" s="591">
        <f t="shared" si="196"/>
        <v>0.1318138146</v>
      </c>
      <c r="S67" s="591"/>
      <c r="T67" s="591">
        <f t="shared" ref="T67:V67" si="197">($B67*(T$51-1))/($B67*(T$51-1)+1)</f>
        <v>0.04191310791</v>
      </c>
      <c r="U67" s="591">
        <f t="shared" si="197"/>
        <v>0.05816757083</v>
      </c>
      <c r="V67" s="592">
        <f t="shared" si="197"/>
        <v>0.1160142852</v>
      </c>
    </row>
    <row r="68" ht="15.75" customHeight="1">
      <c r="A68" s="421" t="s">
        <v>459</v>
      </c>
      <c r="B68" s="590">
        <v>0.20199999999999999</v>
      </c>
      <c r="C68" s="591">
        <f t="shared" ref="C68:F68" si="198">($B68*(C$51-1))/($B68*(C$51-1)+1)</f>
        <v>0.02750223674</v>
      </c>
      <c r="D68" s="591">
        <f t="shared" si="198"/>
        <v>0.2041638149</v>
      </c>
      <c r="E68" s="591">
        <f t="shared" si="198"/>
        <v>0.4789224115</v>
      </c>
      <c r="F68" s="591">
        <f t="shared" si="198"/>
        <v>0.09339812515</v>
      </c>
      <c r="G68" s="591"/>
      <c r="H68" s="591">
        <f t="shared" ref="H68:I68" si="199">($B68*(H$51-1))/($B68*(H$51-1)+1)</f>
        <v>0.01394284813</v>
      </c>
      <c r="I68" s="591">
        <f t="shared" si="199"/>
        <v>0.06249414059</v>
      </c>
      <c r="J68" s="591">
        <v>1.0</v>
      </c>
      <c r="K68" s="591">
        <f t="shared" ref="K68:M68" si="200">($B68*(K$51-1))/($B68*(K$51-1)+1)</f>
        <v>0.008015236886</v>
      </c>
      <c r="L68" s="591">
        <f t="shared" si="200"/>
        <v>0.2622757318</v>
      </c>
      <c r="M68" s="591">
        <f t="shared" si="200"/>
        <v>0.2454083096</v>
      </c>
      <c r="N68" s="591"/>
      <c r="O68" s="591">
        <f t="shared" si="130"/>
        <v>0.1097024626</v>
      </c>
      <c r="P68" s="591"/>
      <c r="Q68" s="591">
        <f t="shared" ref="Q68:R68" si="201">($B68*(Q$51-1))/($B68*(Q$51-1)+1)</f>
        <v>0.1160611686</v>
      </c>
      <c r="R68" s="591">
        <f t="shared" si="201"/>
        <v>0.1064886792</v>
      </c>
      <c r="S68" s="591"/>
      <c r="T68" s="591">
        <f t="shared" ref="T68:V68" si="202">($B68*(T$51-1))/($B68*(T$51-1)+1)</f>
        <v>0.03319991492</v>
      </c>
      <c r="U68" s="591">
        <f t="shared" si="202"/>
        <v>0.04623836411</v>
      </c>
      <c r="V68" s="592">
        <f t="shared" si="202"/>
        <v>0.09339812515</v>
      </c>
    </row>
    <row r="69" ht="15.75" customHeight="1">
      <c r="A69" s="430" t="s">
        <v>504</v>
      </c>
      <c r="B69" s="593">
        <v>0.25102777777777774</v>
      </c>
      <c r="C69" s="591">
        <f t="shared" ref="C69:F69" si="203">($B69*(C$51-1))/($B69*(C$51-1)+1)</f>
        <v>0.03395072827</v>
      </c>
      <c r="D69" s="591">
        <f t="shared" si="203"/>
        <v>0.2417379451</v>
      </c>
      <c r="E69" s="591">
        <f t="shared" si="203"/>
        <v>0.5331850331</v>
      </c>
      <c r="F69" s="591">
        <f t="shared" si="203"/>
        <v>0.1134941701</v>
      </c>
      <c r="G69" s="591"/>
      <c r="H69" s="591">
        <f t="shared" ref="H69:I69" si="204">($B69*(H$51-1))/($B69*(H$51-1)+1)</f>
        <v>0.01726850326</v>
      </c>
      <c r="I69" s="591">
        <f t="shared" si="204"/>
        <v>0.07650181968</v>
      </c>
      <c r="J69" s="591">
        <v>1.0</v>
      </c>
      <c r="K69" s="591">
        <f t="shared" ref="K69:M69" si="205">($B69*(K$51-1))/($B69*(K$51-1)+1)</f>
        <v>0.009941289518</v>
      </c>
      <c r="L69" s="591">
        <f t="shared" si="205"/>
        <v>0.3064268034</v>
      </c>
      <c r="M69" s="591">
        <f t="shared" si="205"/>
        <v>0.2878277699</v>
      </c>
      <c r="N69" s="591"/>
      <c r="O69" s="591">
        <f t="shared" si="130"/>
        <v>0.1327927902</v>
      </c>
      <c r="P69" s="591"/>
      <c r="Q69" s="591">
        <f t="shared" ref="Q69:R69" si="206">($B69*(Q$51-1))/($B69*(Q$51-1)+1)</f>
        <v>0.1402790033</v>
      </c>
      <c r="R69" s="591">
        <f t="shared" si="206"/>
        <v>0.129000579</v>
      </c>
      <c r="S69" s="591"/>
      <c r="T69" s="591">
        <f t="shared" ref="T69:V69" si="207">($B69*(T$51-1))/($B69*(T$51-1)+1)</f>
        <v>0.04092812582</v>
      </c>
      <c r="U69" s="591">
        <f t="shared" si="207"/>
        <v>0.05682325497</v>
      </c>
      <c r="V69" s="592">
        <f t="shared" si="207"/>
        <v>0.1134941701</v>
      </c>
    </row>
    <row r="70" ht="15.75" customHeight="1"/>
    <row r="71" ht="15.75" customHeight="1">
      <c r="A71" s="597" t="s">
        <v>692</v>
      </c>
      <c r="B71" s="581"/>
      <c r="C71" s="582" t="s">
        <v>288</v>
      </c>
      <c r="D71" s="582" t="s">
        <v>405</v>
      </c>
      <c r="E71" s="583" t="s">
        <v>292</v>
      </c>
      <c r="F71" s="583" t="s">
        <v>294</v>
      </c>
      <c r="G71" s="582" t="s">
        <v>296</v>
      </c>
      <c r="H71" s="583" t="s">
        <v>298</v>
      </c>
      <c r="I71" s="582" t="s">
        <v>300</v>
      </c>
      <c r="J71" s="583" t="s">
        <v>89</v>
      </c>
      <c r="K71" s="582" t="s">
        <v>303</v>
      </c>
      <c r="L71" s="583" t="s">
        <v>305</v>
      </c>
      <c r="M71" s="582" t="s">
        <v>307</v>
      </c>
      <c r="N71" s="583" t="s">
        <v>406</v>
      </c>
      <c r="O71" s="582" t="s">
        <v>311</v>
      </c>
      <c r="P71" s="583" t="s">
        <v>313</v>
      </c>
      <c r="Q71" s="582" t="s">
        <v>315</v>
      </c>
      <c r="R71" s="583" t="s">
        <v>407</v>
      </c>
      <c r="S71" s="582" t="s">
        <v>319</v>
      </c>
      <c r="T71" s="583" t="s">
        <v>321</v>
      </c>
      <c r="U71" s="582" t="s">
        <v>323</v>
      </c>
      <c r="V71" s="584" t="s">
        <v>408</v>
      </c>
    </row>
    <row r="72" ht="15.75" customHeight="1">
      <c r="A72" s="585"/>
      <c r="B72" s="35" t="s">
        <v>677</v>
      </c>
      <c r="C72" s="557">
        <v>1.36</v>
      </c>
      <c r="D72" s="557">
        <v>2.27</v>
      </c>
      <c r="E72" s="557">
        <v>9.03</v>
      </c>
      <c r="F72" s="557">
        <v>2.81</v>
      </c>
      <c r="G72" s="557">
        <v>1.08</v>
      </c>
      <c r="H72" s="198" t="s">
        <v>70</v>
      </c>
      <c r="I72" s="557">
        <v>1.27</v>
      </c>
      <c r="J72" s="149">
        <v>1.0</v>
      </c>
      <c r="K72" s="557">
        <v>1.17</v>
      </c>
      <c r="L72" s="557">
        <v>1.88</v>
      </c>
      <c r="M72" s="557">
        <v>2.61</v>
      </c>
      <c r="N72" s="557">
        <v>2.91</v>
      </c>
      <c r="O72" s="557">
        <v>2.39</v>
      </c>
      <c r="P72" s="557">
        <v>1.05</v>
      </c>
      <c r="Q72" s="557">
        <v>1.17</v>
      </c>
      <c r="R72" s="557">
        <v>1.52</v>
      </c>
      <c r="S72" s="557">
        <v>1.2</v>
      </c>
      <c r="T72" s="557">
        <v>1.32</v>
      </c>
      <c r="U72" s="557">
        <v>1.07</v>
      </c>
      <c r="V72" s="557">
        <v>1.59</v>
      </c>
    </row>
    <row r="73" ht="15.75" customHeight="1">
      <c r="A73" s="586"/>
      <c r="B73" s="41" t="s">
        <v>678</v>
      </c>
      <c r="C73" s="573">
        <v>39.0</v>
      </c>
      <c r="D73" s="279">
        <v>43.0</v>
      </c>
      <c r="E73" s="279" t="s">
        <v>679</v>
      </c>
      <c r="F73" s="279">
        <v>34.0</v>
      </c>
      <c r="G73" s="279">
        <v>10.0</v>
      </c>
      <c r="H73" s="279" t="s">
        <v>680</v>
      </c>
      <c r="I73" s="279" t="s">
        <v>681</v>
      </c>
      <c r="J73" s="279" t="s">
        <v>682</v>
      </c>
      <c r="K73" s="279" t="s">
        <v>683</v>
      </c>
      <c r="L73" s="279">
        <v>42.0</v>
      </c>
      <c r="M73" s="279">
        <v>35.0</v>
      </c>
      <c r="N73" s="279" t="s">
        <v>684</v>
      </c>
      <c r="O73" s="279" t="s">
        <v>685</v>
      </c>
      <c r="P73" s="279" t="s">
        <v>686</v>
      </c>
      <c r="Q73" s="279" t="s">
        <v>687</v>
      </c>
      <c r="R73" s="587">
        <v>43480.0</v>
      </c>
      <c r="S73" s="588">
        <v>45158.0</v>
      </c>
      <c r="T73" s="279" t="s">
        <v>688</v>
      </c>
      <c r="U73" s="279">
        <v>36.0</v>
      </c>
      <c r="V73" s="280">
        <v>33.0</v>
      </c>
    </row>
    <row r="74" ht="15.75" customHeight="1">
      <c r="A74" s="589" t="s">
        <v>573</v>
      </c>
      <c r="B74" s="590">
        <v>0.03</v>
      </c>
      <c r="C74" s="591">
        <f t="shared" ref="C74:G74" si="208">($B74*(C$72-1))/($B74*(C$72-1)+1)</f>
        <v>0.01068460625</v>
      </c>
      <c r="D74" s="591">
        <f t="shared" si="208"/>
        <v>0.03670166651</v>
      </c>
      <c r="E74" s="591">
        <f t="shared" si="208"/>
        <v>0.1941332904</v>
      </c>
      <c r="F74" s="591">
        <f t="shared" si="208"/>
        <v>0.05150336716</v>
      </c>
      <c r="G74" s="591">
        <f t="shared" si="208"/>
        <v>0.002394253791</v>
      </c>
      <c r="H74" s="591"/>
      <c r="I74" s="591">
        <f t="shared" ref="I74:I90" si="211">($B74*(I$72-1))/($B74*(I$72-1)+1)</f>
        <v>0.008034917171</v>
      </c>
      <c r="J74" s="591">
        <v>1.0</v>
      </c>
      <c r="K74" s="591">
        <f t="shared" ref="K74:V74" si="209">($B74*(K$72-1))/($B74*(K$72-1)+1)</f>
        <v>0.005074121978</v>
      </c>
      <c r="L74" s="591">
        <f t="shared" si="209"/>
        <v>0.02572096648</v>
      </c>
      <c r="M74" s="591">
        <f t="shared" si="209"/>
        <v>0.04607459697</v>
      </c>
      <c r="N74" s="591">
        <f t="shared" si="209"/>
        <v>0.05419464674</v>
      </c>
      <c r="O74" s="591">
        <f t="shared" si="209"/>
        <v>0.04003071902</v>
      </c>
      <c r="P74" s="591">
        <f t="shared" si="209"/>
        <v>0.00149775337</v>
      </c>
      <c r="Q74" s="591">
        <f t="shared" si="209"/>
        <v>0.005074121978</v>
      </c>
      <c r="R74" s="591">
        <f t="shared" si="209"/>
        <v>0.0153603781</v>
      </c>
      <c r="S74" s="591">
        <f t="shared" si="209"/>
        <v>0.005964214712</v>
      </c>
      <c r="T74" s="591">
        <f t="shared" si="209"/>
        <v>0.009508716323</v>
      </c>
      <c r="U74" s="591">
        <f t="shared" si="209"/>
        <v>0.002095599242</v>
      </c>
      <c r="V74" s="591">
        <f t="shared" si="209"/>
        <v>0.01739215879</v>
      </c>
    </row>
    <row r="75" ht="15.75" customHeight="1">
      <c r="A75" s="589" t="s">
        <v>574</v>
      </c>
      <c r="B75" s="590">
        <v>0.075</v>
      </c>
      <c r="C75" s="591">
        <f t="shared" ref="C75:G75" si="210">($B75*(C$72-1))/($B75*(C$72-1)+1)</f>
        <v>0.02629016553</v>
      </c>
      <c r="D75" s="591">
        <f t="shared" si="210"/>
        <v>0.08696644602</v>
      </c>
      <c r="E75" s="591">
        <f t="shared" si="210"/>
        <v>0.375877672</v>
      </c>
      <c r="F75" s="591">
        <f t="shared" si="210"/>
        <v>0.1195245433</v>
      </c>
      <c r="G75" s="591">
        <f t="shared" si="210"/>
        <v>0.005964214712</v>
      </c>
      <c r="H75" s="591"/>
      <c r="I75" s="591">
        <f t="shared" si="211"/>
        <v>0.01984807645</v>
      </c>
      <c r="J75" s="591">
        <v>1.0</v>
      </c>
      <c r="K75" s="591">
        <f t="shared" ref="K75:V75" si="212">($B75*(K$72-1))/($B75*(K$72-1)+1)</f>
        <v>0.01258948408</v>
      </c>
      <c r="L75" s="591">
        <f t="shared" si="212"/>
        <v>0.06191369606</v>
      </c>
      <c r="M75" s="591">
        <f t="shared" si="212"/>
        <v>0.1077403524</v>
      </c>
      <c r="N75" s="591">
        <f t="shared" si="212"/>
        <v>0.1253006779</v>
      </c>
      <c r="O75" s="591">
        <f t="shared" si="212"/>
        <v>0.09440796921</v>
      </c>
      <c r="P75" s="591">
        <f t="shared" si="212"/>
        <v>0.003735990037</v>
      </c>
      <c r="Q75" s="591">
        <f t="shared" si="212"/>
        <v>0.01258948408</v>
      </c>
      <c r="R75" s="591">
        <f t="shared" si="212"/>
        <v>0.0375360924</v>
      </c>
      <c r="S75" s="591">
        <f t="shared" si="212"/>
        <v>0.01477832512</v>
      </c>
      <c r="T75" s="591">
        <f t="shared" si="212"/>
        <v>0.0234375</v>
      </c>
      <c r="U75" s="591">
        <f t="shared" si="212"/>
        <v>0.005222581447</v>
      </c>
      <c r="V75" s="591">
        <f t="shared" si="212"/>
        <v>0.04237491022</v>
      </c>
    </row>
    <row r="76" ht="15.75" customHeight="1">
      <c r="A76" s="589" t="s">
        <v>575</v>
      </c>
      <c r="B76" s="590">
        <v>0.0665</v>
      </c>
      <c r="C76" s="591">
        <f t="shared" ref="C76:G76" si="213">($B76*(C$72-1))/($B76*(C$72-1)+1)</f>
        <v>0.02338027619</v>
      </c>
      <c r="D76" s="591">
        <f t="shared" si="213"/>
        <v>0.07787782803</v>
      </c>
      <c r="E76" s="591">
        <f t="shared" si="213"/>
        <v>0.3481073928</v>
      </c>
      <c r="F76" s="591">
        <f t="shared" si="213"/>
        <v>0.1074337381</v>
      </c>
      <c r="G76" s="591">
        <f t="shared" si="213"/>
        <v>0.005291847372</v>
      </c>
      <c r="H76" s="591"/>
      <c r="I76" s="591">
        <f t="shared" si="211"/>
        <v>0.01763830425</v>
      </c>
      <c r="J76" s="591">
        <v>1.0</v>
      </c>
      <c r="K76" s="591">
        <f t="shared" ref="K76:V76" si="214">($B76*(K$72-1))/($B76*(K$72-1)+1)</f>
        <v>0.01117862564</v>
      </c>
      <c r="L76" s="591">
        <f t="shared" si="214"/>
        <v>0.05528473718</v>
      </c>
      <c r="M76" s="591">
        <f t="shared" si="214"/>
        <v>0.09671067191</v>
      </c>
      <c r="N76" s="591">
        <f t="shared" si="214"/>
        <v>0.1127003633</v>
      </c>
      <c r="O76" s="591">
        <f t="shared" si="214"/>
        <v>0.08461372988</v>
      </c>
      <c r="P76" s="591">
        <f t="shared" si="214"/>
        <v>0.003313981013</v>
      </c>
      <c r="Q76" s="591">
        <f t="shared" si="214"/>
        <v>0.01117862564</v>
      </c>
      <c r="R76" s="591">
        <f t="shared" si="214"/>
        <v>0.03342419146</v>
      </c>
      <c r="S76" s="591">
        <f t="shared" si="214"/>
        <v>0.01312543176</v>
      </c>
      <c r="T76" s="591">
        <f t="shared" si="214"/>
        <v>0.02083659721</v>
      </c>
      <c r="U76" s="591">
        <f t="shared" si="214"/>
        <v>0.004633431377</v>
      </c>
      <c r="V76" s="591">
        <f t="shared" si="214"/>
        <v>0.03775373231</v>
      </c>
    </row>
    <row r="77" ht="15.75" customHeight="1">
      <c r="A77" s="589" t="s">
        <v>417</v>
      </c>
      <c r="B77" s="590">
        <v>0.027999999999999997</v>
      </c>
      <c r="C77" s="591">
        <f t="shared" ref="C77:G77" si="215">($B77*(C$72-1))/($B77*(C$72-1)+1)</f>
        <v>0.009979407572</v>
      </c>
      <c r="D77" s="591">
        <f t="shared" si="215"/>
        <v>0.03433890842</v>
      </c>
      <c r="E77" s="591">
        <f t="shared" si="215"/>
        <v>0.1835668332</v>
      </c>
      <c r="F77" s="591">
        <f t="shared" si="215"/>
        <v>0.04823542848</v>
      </c>
      <c r="G77" s="591">
        <f t="shared" si="215"/>
        <v>0.002234993614</v>
      </c>
      <c r="H77" s="591"/>
      <c r="I77" s="591">
        <f t="shared" si="211"/>
        <v>0.007503275239</v>
      </c>
      <c r="J77" s="591">
        <v>1.0</v>
      </c>
      <c r="K77" s="591">
        <f t="shared" ref="K77:V77" si="216">($B77*(K$72-1))/($B77*(K$72-1)+1)</f>
        <v>0.004737449739</v>
      </c>
      <c r="L77" s="591">
        <f t="shared" si="216"/>
        <v>0.02404747033</v>
      </c>
      <c r="M77" s="591">
        <f t="shared" si="216"/>
        <v>0.04313545375</v>
      </c>
      <c r="N77" s="591">
        <f t="shared" si="216"/>
        <v>0.05076508334</v>
      </c>
      <c r="O77" s="591">
        <f t="shared" si="216"/>
        <v>0.03746197975</v>
      </c>
      <c r="P77" s="591">
        <f t="shared" si="216"/>
        <v>0.00139804274</v>
      </c>
      <c r="Q77" s="591">
        <f t="shared" si="216"/>
        <v>0.004737449739</v>
      </c>
      <c r="R77" s="591">
        <f t="shared" si="216"/>
        <v>0.01435104873</v>
      </c>
      <c r="S77" s="591">
        <f t="shared" si="216"/>
        <v>0.005568814638</v>
      </c>
      <c r="T77" s="591">
        <f t="shared" si="216"/>
        <v>0.008880431335</v>
      </c>
      <c r="U77" s="591">
        <f t="shared" si="216"/>
        <v>0.001956165915</v>
      </c>
      <c r="V77" s="591">
        <f t="shared" si="216"/>
        <v>0.01625152481</v>
      </c>
    </row>
    <row r="78" ht="15.75" customHeight="1">
      <c r="A78" s="589" t="s">
        <v>689</v>
      </c>
      <c r="B78" s="590">
        <v>0.05566666666666666</v>
      </c>
      <c r="C78" s="591">
        <f t="shared" ref="C78:G78" si="217">($B78*(C$72-1))/($B78*(C$72-1)+1)</f>
        <v>0.01964628838</v>
      </c>
      <c r="D78" s="591">
        <f t="shared" si="217"/>
        <v>0.06602866047</v>
      </c>
      <c r="E78" s="591">
        <f t="shared" si="217"/>
        <v>0.3089165885</v>
      </c>
      <c r="F78" s="591">
        <f t="shared" si="217"/>
        <v>0.0915340054</v>
      </c>
      <c r="G78" s="591">
        <f t="shared" si="217"/>
        <v>0.004433589083</v>
      </c>
      <c r="H78" s="591"/>
      <c r="I78" s="591">
        <f t="shared" si="211"/>
        <v>0.01480744411</v>
      </c>
      <c r="J78" s="591">
        <v>1.0</v>
      </c>
      <c r="K78" s="591">
        <f t="shared" ref="K78:V78" si="218">($B78*(K$72-1))/($B78*(K$72-1)+1)</f>
        <v>0.009374618196</v>
      </c>
      <c r="L78" s="591">
        <f t="shared" si="218"/>
        <v>0.04669903653</v>
      </c>
      <c r="M78" s="591">
        <f t="shared" si="218"/>
        <v>0.08225166495</v>
      </c>
      <c r="N78" s="591">
        <f t="shared" si="218"/>
        <v>0.09610511695</v>
      </c>
      <c r="O78" s="591">
        <f t="shared" si="218"/>
        <v>0.07181951221</v>
      </c>
      <c r="P78" s="591">
        <f t="shared" si="218"/>
        <v>0.002775607891</v>
      </c>
      <c r="Q78" s="591">
        <f t="shared" si="218"/>
        <v>0.009374618196</v>
      </c>
      <c r="R78" s="591">
        <f t="shared" si="218"/>
        <v>0.0281323295</v>
      </c>
      <c r="S78" s="591">
        <f t="shared" si="218"/>
        <v>0.01101074702</v>
      </c>
      <c r="T78" s="591">
        <f t="shared" si="218"/>
        <v>0.017501572</v>
      </c>
      <c r="U78" s="591">
        <f t="shared" si="218"/>
        <v>0.003881541593</v>
      </c>
      <c r="V78" s="591">
        <f t="shared" si="218"/>
        <v>0.03179894982</v>
      </c>
    </row>
    <row r="79" ht="15.75" customHeight="1">
      <c r="A79" s="589" t="s">
        <v>391</v>
      </c>
      <c r="B79" s="590">
        <v>0.08341785016894653</v>
      </c>
      <c r="C79" s="591">
        <f t="shared" ref="C79:G79" si="219">($B79*(C$72-1))/($B79*(C$72-1)+1)</f>
        <v>0.02915489223</v>
      </c>
      <c r="D79" s="591">
        <f t="shared" si="219"/>
        <v>0.09579236266</v>
      </c>
      <c r="E79" s="591">
        <f t="shared" si="219"/>
        <v>0.401142143</v>
      </c>
      <c r="F79" s="591">
        <f t="shared" si="219"/>
        <v>0.1311799347</v>
      </c>
      <c r="G79" s="591">
        <f t="shared" si="219"/>
        <v>0.006629188601</v>
      </c>
      <c r="H79" s="591"/>
      <c r="I79" s="591">
        <f t="shared" si="211"/>
        <v>0.0220267158</v>
      </c>
      <c r="J79" s="591">
        <v>1.0</v>
      </c>
      <c r="K79" s="591">
        <f t="shared" ref="K79:V79" si="220">($B79*(K$72-1))/($B79*(K$72-1)+1)</f>
        <v>0.01398274474</v>
      </c>
      <c r="L79" s="591">
        <f t="shared" si="220"/>
        <v>0.06838753587</v>
      </c>
      <c r="M79" s="591">
        <f t="shared" si="220"/>
        <v>0.1184011412</v>
      </c>
      <c r="N79" s="591">
        <f t="shared" si="220"/>
        <v>0.1374314093</v>
      </c>
      <c r="O79" s="591">
        <f t="shared" si="220"/>
        <v>0.1039031564</v>
      </c>
      <c r="P79" s="591">
        <f t="shared" si="220"/>
        <v>0.004153568421</v>
      </c>
      <c r="Q79" s="591">
        <f t="shared" si="220"/>
        <v>0.01398274474</v>
      </c>
      <c r="R79" s="591">
        <f t="shared" si="220"/>
        <v>0.0415739185</v>
      </c>
      <c r="S79" s="591">
        <f t="shared" si="220"/>
        <v>0.01640979605</v>
      </c>
      <c r="T79" s="591">
        <f t="shared" si="220"/>
        <v>0.02599968398</v>
      </c>
      <c r="U79" s="591">
        <f t="shared" si="220"/>
        <v>0.005805350621</v>
      </c>
      <c r="V79" s="591">
        <f t="shared" si="220"/>
        <v>0.04690788805</v>
      </c>
    </row>
    <row r="80" ht="15.75" customHeight="1">
      <c r="A80" s="589" t="s">
        <v>392</v>
      </c>
      <c r="B80" s="590">
        <v>0.12541785016894655</v>
      </c>
      <c r="C80" s="591">
        <f t="shared" ref="C80:G80" si="221">($B80*(C$72-1))/($B80*(C$72-1)+1)</f>
        <v>0.04319993078</v>
      </c>
      <c r="D80" s="591">
        <f t="shared" si="221"/>
        <v>0.1373961232</v>
      </c>
      <c r="E80" s="591">
        <f t="shared" si="221"/>
        <v>0.5017700458</v>
      </c>
      <c r="F80" s="591">
        <f t="shared" si="221"/>
        <v>0.1850082654</v>
      </c>
      <c r="G80" s="591">
        <f t="shared" si="221"/>
        <v>0.009933758364</v>
      </c>
      <c r="H80" s="591"/>
      <c r="I80" s="591">
        <f t="shared" si="211"/>
        <v>0.03275368734</v>
      </c>
      <c r="J80" s="591">
        <v>1.0</v>
      </c>
      <c r="K80" s="591">
        <f t="shared" ref="K80:V80" si="222">($B80*(K$72-1))/($B80*(K$72-1)+1)</f>
        <v>0.02087593794</v>
      </c>
      <c r="L80" s="591">
        <f t="shared" si="222"/>
        <v>0.09939744045</v>
      </c>
      <c r="M80" s="591">
        <f t="shared" si="222"/>
        <v>0.1679997659</v>
      </c>
      <c r="N80" s="591">
        <f t="shared" si="222"/>
        <v>0.1932543763</v>
      </c>
      <c r="O80" s="591">
        <f t="shared" si="222"/>
        <v>0.1484511945</v>
      </c>
      <c r="P80" s="591">
        <f t="shared" si="222"/>
        <v>0.006231813476</v>
      </c>
      <c r="Q80" s="591">
        <f t="shared" si="222"/>
        <v>0.02087593794</v>
      </c>
      <c r="R80" s="591">
        <f t="shared" si="222"/>
        <v>0.06122439354</v>
      </c>
      <c r="S80" s="591">
        <f t="shared" si="222"/>
        <v>0.02446978058</v>
      </c>
      <c r="T80" s="591">
        <f t="shared" si="222"/>
        <v>0.03858514688</v>
      </c>
      <c r="U80" s="591">
        <f t="shared" si="222"/>
        <v>0.008702845064</v>
      </c>
      <c r="V80" s="591">
        <f t="shared" si="222"/>
        <v>0.06889829662</v>
      </c>
    </row>
    <row r="81" ht="15.75" customHeight="1">
      <c r="A81" s="589" t="s">
        <v>393</v>
      </c>
      <c r="B81" s="590">
        <v>0.2016666666666667</v>
      </c>
      <c r="C81" s="591">
        <f t="shared" ref="C81:G81" si="223">($B81*(C$72-1))/($B81*(C$72-1)+1)</f>
        <v>0.06768599664</v>
      </c>
      <c r="D81" s="591">
        <f t="shared" si="223"/>
        <v>0.2038956042</v>
      </c>
      <c r="E81" s="591">
        <f t="shared" si="223"/>
        <v>0.6182307541</v>
      </c>
      <c r="F81" s="591">
        <f t="shared" si="223"/>
        <v>0.2674082124</v>
      </c>
      <c r="G81" s="591">
        <f t="shared" si="223"/>
        <v>0.01587718147</v>
      </c>
      <c r="H81" s="591"/>
      <c r="I81" s="591">
        <f t="shared" si="211"/>
        <v>0.05163829485</v>
      </c>
      <c r="J81" s="591">
        <v>1.0</v>
      </c>
      <c r="K81" s="591">
        <f t="shared" ref="K81:V81" si="224">($B81*(K$72-1))/($B81*(K$72-1)+1)</f>
        <v>0.03314694555</v>
      </c>
      <c r="L81" s="591">
        <f t="shared" si="224"/>
        <v>0.1507190579</v>
      </c>
      <c r="M81" s="591">
        <f t="shared" si="224"/>
        <v>0.2451026031</v>
      </c>
      <c r="N81" s="591">
        <f t="shared" si="224"/>
        <v>0.2780739012</v>
      </c>
      <c r="O81" s="591">
        <f t="shared" si="224"/>
        <v>0.2189432302</v>
      </c>
      <c r="P81" s="591">
        <f t="shared" si="224"/>
        <v>0.009982674697</v>
      </c>
      <c r="Q81" s="591">
        <f t="shared" si="224"/>
        <v>0.03314694555</v>
      </c>
      <c r="R81" s="591">
        <f t="shared" si="224"/>
        <v>0.09491341338</v>
      </c>
      <c r="S81" s="591">
        <f t="shared" si="224"/>
        <v>0.03876962512</v>
      </c>
      <c r="T81" s="591">
        <f t="shared" si="224"/>
        <v>0.06062124248</v>
      </c>
      <c r="U81" s="591">
        <f t="shared" si="224"/>
        <v>0.0139201604</v>
      </c>
      <c r="V81" s="591">
        <f t="shared" si="224"/>
        <v>0.1063316403</v>
      </c>
    </row>
    <row r="82" ht="15.75" customHeight="1">
      <c r="A82" s="421" t="s">
        <v>394</v>
      </c>
      <c r="B82" s="590">
        <v>0.21833333333333335</v>
      </c>
      <c r="C82" s="591">
        <f t="shared" ref="C82:G82" si="225">($B82*(C$72-1))/($B82*(C$72-1)+1)</f>
        <v>0.07287224179</v>
      </c>
      <c r="D82" s="591">
        <f t="shared" si="225"/>
        <v>0.2170883516</v>
      </c>
      <c r="E82" s="591">
        <f t="shared" si="225"/>
        <v>0.6367884838</v>
      </c>
      <c r="F82" s="591">
        <f t="shared" si="225"/>
        <v>0.2832483186</v>
      </c>
      <c r="G82" s="591">
        <f t="shared" si="225"/>
        <v>0.01716681955</v>
      </c>
      <c r="H82" s="591"/>
      <c r="I82" s="591">
        <f t="shared" si="211"/>
        <v>0.05566835072</v>
      </c>
      <c r="J82" s="591">
        <v>1.0</v>
      </c>
      <c r="K82" s="591">
        <f t="shared" ref="K82:V82" si="226">($B82*(K$72-1))/($B82*(K$72-1)+1)</f>
        <v>0.0357883234</v>
      </c>
      <c r="L82" s="591">
        <f t="shared" si="226"/>
        <v>0.1611676546</v>
      </c>
      <c r="M82" s="591">
        <f t="shared" si="226"/>
        <v>0.2600905156</v>
      </c>
      <c r="N82" s="591">
        <f t="shared" si="226"/>
        <v>0.2942919984</v>
      </c>
      <c r="O82" s="591">
        <f t="shared" si="226"/>
        <v>0.2328248667</v>
      </c>
      <c r="P82" s="591">
        <f t="shared" si="226"/>
        <v>0.01079877999</v>
      </c>
      <c r="Q82" s="591">
        <f t="shared" si="226"/>
        <v>0.0357883234</v>
      </c>
      <c r="R82" s="591">
        <f t="shared" si="226"/>
        <v>0.1019577321</v>
      </c>
      <c r="S82" s="591">
        <f t="shared" si="226"/>
        <v>0.04183966784</v>
      </c>
      <c r="T82" s="591">
        <f t="shared" si="226"/>
        <v>0.06530408774</v>
      </c>
      <c r="U82" s="591">
        <f t="shared" si="226"/>
        <v>0.0150532692</v>
      </c>
      <c r="V82" s="591">
        <f t="shared" si="226"/>
        <v>0.1141165527</v>
      </c>
    </row>
    <row r="83" ht="15.75" customHeight="1">
      <c r="A83" s="421" t="s">
        <v>395</v>
      </c>
      <c r="B83" s="590">
        <v>0.23116666666666666</v>
      </c>
      <c r="C83" s="591">
        <f t="shared" ref="C83:G83" si="227">($B83*(C$72-1))/($B83*(C$72-1)+1)</f>
        <v>0.07682649877</v>
      </c>
      <c r="D83" s="591">
        <f t="shared" si="227"/>
        <v>0.2269525568</v>
      </c>
      <c r="E83" s="591">
        <f t="shared" si="227"/>
        <v>0.649892838</v>
      </c>
      <c r="F83" s="591">
        <f t="shared" si="227"/>
        <v>0.2949860583</v>
      </c>
      <c r="G83" s="591">
        <f t="shared" si="227"/>
        <v>0.0181575399</v>
      </c>
      <c r="H83" s="591"/>
      <c r="I83" s="591">
        <f t="shared" si="211"/>
        <v>0.05874822927</v>
      </c>
      <c r="J83" s="591">
        <v>1.0</v>
      </c>
      <c r="K83" s="591">
        <f t="shared" ref="K83:V83" si="228">($B83*(K$72-1))/($B83*(K$72-1)+1)</f>
        <v>0.0378123702</v>
      </c>
      <c r="L83" s="591">
        <f t="shared" si="228"/>
        <v>0.1690395205</v>
      </c>
      <c r="M83" s="591">
        <f t="shared" si="228"/>
        <v>0.2712317519</v>
      </c>
      <c r="N83" s="591">
        <f t="shared" si="228"/>
        <v>0.3062918176</v>
      </c>
      <c r="O83" s="591">
        <f t="shared" si="228"/>
        <v>0.243182016</v>
      </c>
      <c r="P83" s="591">
        <f t="shared" si="228"/>
        <v>0.01142626476</v>
      </c>
      <c r="Q83" s="591">
        <f t="shared" si="228"/>
        <v>0.0378123702</v>
      </c>
      <c r="R83" s="591">
        <f t="shared" si="228"/>
        <v>0.1073075801</v>
      </c>
      <c r="S83" s="591">
        <f t="shared" si="228"/>
        <v>0.04419026986</v>
      </c>
      <c r="T83" s="591">
        <f t="shared" si="228"/>
        <v>0.06887818444</v>
      </c>
      <c r="U83" s="591">
        <f t="shared" si="228"/>
        <v>0.01592398997</v>
      </c>
      <c r="V83" s="591">
        <f t="shared" si="228"/>
        <v>0.1200191249</v>
      </c>
    </row>
    <row r="84" ht="15.75" customHeight="1">
      <c r="A84" s="421" t="s">
        <v>396</v>
      </c>
      <c r="B84" s="590">
        <v>0.2665</v>
      </c>
      <c r="C84" s="591">
        <f t="shared" ref="C84:G84" si="229">($B84*(C$72-1))/($B84*(C$72-1)+1)</f>
        <v>0.08754128876</v>
      </c>
      <c r="D84" s="591">
        <f t="shared" si="229"/>
        <v>0.2528699134</v>
      </c>
      <c r="E84" s="591">
        <f t="shared" si="229"/>
        <v>0.6815281553</v>
      </c>
      <c r="F84" s="591">
        <f t="shared" si="229"/>
        <v>0.3254023132</v>
      </c>
      <c r="G84" s="591">
        <f t="shared" si="229"/>
        <v>0.02087494615</v>
      </c>
      <c r="H84" s="591"/>
      <c r="I84" s="591">
        <f t="shared" si="211"/>
        <v>0.06712501924</v>
      </c>
      <c r="J84" s="591">
        <v>1.0</v>
      </c>
      <c r="K84" s="591">
        <f t="shared" ref="K84:V84" si="230">($B84*(K$72-1))/($B84*(K$72-1)+1)</f>
        <v>0.0433414171</v>
      </c>
      <c r="L84" s="591">
        <f t="shared" si="230"/>
        <v>0.1899685708</v>
      </c>
      <c r="M84" s="591">
        <f t="shared" si="230"/>
        <v>0.3002417665</v>
      </c>
      <c r="N84" s="591">
        <f t="shared" si="230"/>
        <v>0.3373160638</v>
      </c>
      <c r="O84" s="591">
        <f t="shared" si="230"/>
        <v>0.2703046843</v>
      </c>
      <c r="P84" s="591">
        <f t="shared" si="230"/>
        <v>0.01314977919</v>
      </c>
      <c r="Q84" s="591">
        <f t="shared" si="230"/>
        <v>0.0433414171</v>
      </c>
      <c r="R84" s="591">
        <f t="shared" si="230"/>
        <v>0.1217130109</v>
      </c>
      <c r="S84" s="591">
        <f t="shared" si="230"/>
        <v>0.05060286718</v>
      </c>
      <c r="T84" s="591">
        <f t="shared" si="230"/>
        <v>0.07857879994</v>
      </c>
      <c r="U84" s="591">
        <f t="shared" si="230"/>
        <v>0.01831336419</v>
      </c>
      <c r="V84" s="591">
        <f t="shared" si="230"/>
        <v>0.1358712794</v>
      </c>
    </row>
    <row r="85" ht="15.75" customHeight="1">
      <c r="A85" s="421" t="s">
        <v>397</v>
      </c>
      <c r="B85" s="590">
        <v>0.308</v>
      </c>
      <c r="C85" s="591">
        <f t="shared" ref="C85:G85" si="231">($B85*(C$72-1))/($B85*(C$72-1)+1)</f>
        <v>0.09981276105</v>
      </c>
      <c r="D85" s="591">
        <f t="shared" si="231"/>
        <v>0.281175422</v>
      </c>
      <c r="E85" s="591">
        <f t="shared" si="231"/>
        <v>0.7120843938</v>
      </c>
      <c r="F85" s="591">
        <f t="shared" si="231"/>
        <v>0.3579371806</v>
      </c>
      <c r="G85" s="591">
        <f t="shared" si="231"/>
        <v>0.02404747033</v>
      </c>
      <c r="H85" s="591"/>
      <c r="I85" s="591">
        <f t="shared" si="211"/>
        <v>0.07677536098</v>
      </c>
      <c r="J85" s="591">
        <v>1.0</v>
      </c>
      <c r="K85" s="591">
        <f t="shared" ref="K85:V85" si="232">($B85*(K$72-1))/($B85*(K$72-1)+1)</f>
        <v>0.04975483675</v>
      </c>
      <c r="L85" s="591">
        <f t="shared" si="232"/>
        <v>0.2132426989</v>
      </c>
      <c r="M85" s="591">
        <f t="shared" si="232"/>
        <v>0.3314971789</v>
      </c>
      <c r="N85" s="591">
        <f t="shared" si="232"/>
        <v>0.3703880928</v>
      </c>
      <c r="O85" s="591">
        <f t="shared" si="232"/>
        <v>0.2997787301</v>
      </c>
      <c r="P85" s="591">
        <f t="shared" si="232"/>
        <v>0.01516643687</v>
      </c>
      <c r="Q85" s="591">
        <f t="shared" si="232"/>
        <v>0.04975483675</v>
      </c>
      <c r="R85" s="591">
        <f t="shared" si="232"/>
        <v>0.1380499241</v>
      </c>
      <c r="S85" s="591">
        <f t="shared" si="232"/>
        <v>0.0580256217</v>
      </c>
      <c r="T85" s="591">
        <f t="shared" si="232"/>
        <v>0.0897174483</v>
      </c>
      <c r="U85" s="591">
        <f t="shared" si="232"/>
        <v>0.0211049767</v>
      </c>
      <c r="V85" s="591">
        <f t="shared" si="232"/>
        <v>0.1537758521</v>
      </c>
    </row>
    <row r="86" ht="15.75" customHeight="1">
      <c r="A86" s="421" t="s">
        <v>398</v>
      </c>
      <c r="B86" s="590">
        <v>0.308</v>
      </c>
      <c r="C86" s="591">
        <f t="shared" ref="C86:G86" si="233">($B86*(C$72-1))/($B86*(C$72-1)+1)</f>
        <v>0.09981276105</v>
      </c>
      <c r="D86" s="591">
        <f t="shared" si="233"/>
        <v>0.281175422</v>
      </c>
      <c r="E86" s="591">
        <f t="shared" si="233"/>
        <v>0.7120843938</v>
      </c>
      <c r="F86" s="591">
        <f t="shared" si="233"/>
        <v>0.3579371806</v>
      </c>
      <c r="G86" s="591">
        <f t="shared" si="233"/>
        <v>0.02404747033</v>
      </c>
      <c r="H86" s="591"/>
      <c r="I86" s="591">
        <f t="shared" si="211"/>
        <v>0.07677536098</v>
      </c>
      <c r="J86" s="591">
        <v>1.0</v>
      </c>
      <c r="K86" s="591">
        <f t="shared" ref="K86:V86" si="234">($B86*(K$72-1))/($B86*(K$72-1)+1)</f>
        <v>0.04975483675</v>
      </c>
      <c r="L86" s="591">
        <f t="shared" si="234"/>
        <v>0.2132426989</v>
      </c>
      <c r="M86" s="591">
        <f t="shared" si="234"/>
        <v>0.3314971789</v>
      </c>
      <c r="N86" s="591">
        <f t="shared" si="234"/>
        <v>0.3703880928</v>
      </c>
      <c r="O86" s="591">
        <f t="shared" si="234"/>
        <v>0.2997787301</v>
      </c>
      <c r="P86" s="591">
        <f t="shared" si="234"/>
        <v>0.01516643687</v>
      </c>
      <c r="Q86" s="591">
        <f t="shared" si="234"/>
        <v>0.04975483675</v>
      </c>
      <c r="R86" s="591">
        <f t="shared" si="234"/>
        <v>0.1380499241</v>
      </c>
      <c r="S86" s="591">
        <f t="shared" si="234"/>
        <v>0.0580256217</v>
      </c>
      <c r="T86" s="591">
        <f t="shared" si="234"/>
        <v>0.0897174483</v>
      </c>
      <c r="U86" s="591">
        <f t="shared" si="234"/>
        <v>0.0211049767</v>
      </c>
      <c r="V86" s="591">
        <f t="shared" si="234"/>
        <v>0.1537758521</v>
      </c>
    </row>
    <row r="87" ht="15.75" customHeight="1">
      <c r="A87" s="421" t="s">
        <v>502</v>
      </c>
      <c r="B87" s="590">
        <v>0.268</v>
      </c>
      <c r="C87" s="591">
        <f t="shared" ref="C87:G87" si="235">($B87*(C$72-1))/($B87*(C$72-1)+1)</f>
        <v>0.08799066102</v>
      </c>
      <c r="D87" s="591">
        <f t="shared" si="235"/>
        <v>0.2539317795</v>
      </c>
      <c r="E87" s="591">
        <f t="shared" si="235"/>
        <v>0.6827451428</v>
      </c>
      <c r="F87" s="591">
        <f t="shared" si="235"/>
        <v>0.3266356021</v>
      </c>
      <c r="G87" s="591">
        <f t="shared" si="235"/>
        <v>0.02098997494</v>
      </c>
      <c r="H87" s="591"/>
      <c r="I87" s="591">
        <f t="shared" si="211"/>
        <v>0.0674773397</v>
      </c>
      <c r="J87" s="591">
        <v>1.0</v>
      </c>
      <c r="K87" s="591">
        <f t="shared" ref="K87:V87" si="236">($B87*(K$72-1))/($B87*(K$72-1)+1)</f>
        <v>0.04357473507</v>
      </c>
      <c r="L87" s="591">
        <f t="shared" si="236"/>
        <v>0.1908337649</v>
      </c>
      <c r="M87" s="591">
        <f t="shared" si="236"/>
        <v>0.3014223042</v>
      </c>
      <c r="N87" s="591">
        <f t="shared" si="236"/>
        <v>0.3385718443</v>
      </c>
      <c r="O87" s="591">
        <f t="shared" si="236"/>
        <v>0.271413167</v>
      </c>
      <c r="P87" s="591">
        <f t="shared" si="236"/>
        <v>0.01322281429</v>
      </c>
      <c r="Q87" s="591">
        <f t="shared" si="236"/>
        <v>0.04357473507</v>
      </c>
      <c r="R87" s="591">
        <f t="shared" si="236"/>
        <v>0.1223142817</v>
      </c>
      <c r="S87" s="591">
        <f t="shared" si="236"/>
        <v>0.05087319666</v>
      </c>
      <c r="T87" s="591">
        <f t="shared" si="236"/>
        <v>0.07898614795</v>
      </c>
      <c r="U87" s="591">
        <f t="shared" si="236"/>
        <v>0.01841454317</v>
      </c>
      <c r="V87" s="591">
        <f t="shared" si="236"/>
        <v>0.1365316202</v>
      </c>
    </row>
    <row r="88" ht="15.75" customHeight="1">
      <c r="A88" s="421" t="s">
        <v>503</v>
      </c>
      <c r="B88" s="590">
        <v>0.24833333333333332</v>
      </c>
      <c r="C88" s="591">
        <f t="shared" ref="C88:G88" si="237">($B88*(C$72-1))/($B88*(C$72-1)+1)</f>
        <v>0.0820635212</v>
      </c>
      <c r="D88" s="591">
        <f t="shared" si="237"/>
        <v>0.2397653409</v>
      </c>
      <c r="E88" s="591">
        <f t="shared" si="237"/>
        <v>0.6660116785</v>
      </c>
      <c r="F88" s="591">
        <f t="shared" si="237"/>
        <v>0.3100990008</v>
      </c>
      <c r="G88" s="591">
        <f t="shared" si="237"/>
        <v>0.01947967055</v>
      </c>
      <c r="H88" s="591"/>
      <c r="I88" s="591">
        <f t="shared" si="211"/>
        <v>0.06283679303</v>
      </c>
      <c r="J88" s="591">
        <v>1.0</v>
      </c>
      <c r="K88" s="591">
        <f t="shared" ref="K88:V88" si="238">($B88*(K$72-1))/($B88*(K$72-1)+1)</f>
        <v>0.04050661251</v>
      </c>
      <c r="L88" s="591">
        <f t="shared" si="238"/>
        <v>0.1793412846</v>
      </c>
      <c r="M88" s="591">
        <f t="shared" si="238"/>
        <v>0.285620736</v>
      </c>
      <c r="N88" s="591">
        <f t="shared" si="238"/>
        <v>0.3217196667</v>
      </c>
      <c r="O88" s="591">
        <f t="shared" si="238"/>
        <v>0.2566069061</v>
      </c>
      <c r="P88" s="591">
        <f t="shared" si="238"/>
        <v>0.0122643839</v>
      </c>
      <c r="Q88" s="591">
        <f t="shared" si="238"/>
        <v>0.04050661251</v>
      </c>
      <c r="R88" s="591">
        <f t="shared" si="238"/>
        <v>0.1143649997</v>
      </c>
      <c r="S88" s="591">
        <f t="shared" si="238"/>
        <v>0.04731660845</v>
      </c>
      <c r="T88" s="591">
        <f t="shared" si="238"/>
        <v>0.07361660079</v>
      </c>
      <c r="U88" s="591">
        <f t="shared" si="238"/>
        <v>0.0170863162</v>
      </c>
      <c r="V88" s="591">
        <f t="shared" si="238"/>
        <v>0.1277928799</v>
      </c>
    </row>
    <row r="89" ht="15.75" customHeight="1">
      <c r="A89" s="421" t="s">
        <v>459</v>
      </c>
      <c r="B89" s="590">
        <v>0.209</v>
      </c>
      <c r="C89" s="591">
        <f t="shared" ref="C89:G89" si="239">($B89*(C$72-1))/($B89*(C$72-1)+1)</f>
        <v>0.06997507533</v>
      </c>
      <c r="D89" s="591">
        <f t="shared" si="239"/>
        <v>0.2097547869</v>
      </c>
      <c r="E89" s="591">
        <f t="shared" si="239"/>
        <v>0.6266246495</v>
      </c>
      <c r="F89" s="591">
        <f t="shared" si="239"/>
        <v>0.2744632842</v>
      </c>
      <c r="G89" s="591">
        <f t="shared" si="239"/>
        <v>0.01644503895</v>
      </c>
      <c r="H89" s="591"/>
      <c r="I89" s="591">
        <f t="shared" si="211"/>
        <v>0.05341574927</v>
      </c>
      <c r="J89" s="591">
        <v>1.0</v>
      </c>
      <c r="K89" s="591">
        <f t="shared" ref="K89:V89" si="240">($B89*(K$72-1))/($B89*(K$72-1)+1)</f>
        <v>0.03431093257</v>
      </c>
      <c r="L89" s="591">
        <f t="shared" si="240"/>
        <v>0.1553483343</v>
      </c>
      <c r="M89" s="591">
        <f t="shared" si="240"/>
        <v>0.2517714311</v>
      </c>
      <c r="N89" s="591">
        <f t="shared" si="240"/>
        <v>0.2853007812</v>
      </c>
      <c r="O89" s="591">
        <f t="shared" si="240"/>
        <v>0.2251125524</v>
      </c>
      <c r="P89" s="591">
        <f t="shared" si="240"/>
        <v>0.01034192686</v>
      </c>
      <c r="Q89" s="591">
        <f t="shared" si="240"/>
        <v>0.03431093257</v>
      </c>
      <c r="R89" s="591">
        <f t="shared" si="240"/>
        <v>0.09802648194</v>
      </c>
      <c r="S89" s="591">
        <f t="shared" si="240"/>
        <v>0.04012286427</v>
      </c>
      <c r="T89" s="591">
        <f t="shared" si="240"/>
        <v>0.06268746251</v>
      </c>
      <c r="U89" s="591">
        <f t="shared" si="240"/>
        <v>0.01441904931</v>
      </c>
      <c r="V89" s="591">
        <f t="shared" si="240"/>
        <v>0.1097737935</v>
      </c>
    </row>
    <row r="90" ht="15.75" customHeight="1">
      <c r="A90" s="430" t="s">
        <v>504</v>
      </c>
      <c r="B90" s="593">
        <v>0.21029186391704668</v>
      </c>
      <c r="C90" s="591">
        <f t="shared" ref="C90:G90" si="241">($B90*(C$72-1))/($B90*(C$72-1)+1)</f>
        <v>0.0703771629</v>
      </c>
      <c r="D90" s="591">
        <f t="shared" si="241"/>
        <v>0.2107780364</v>
      </c>
      <c r="E90" s="591">
        <f t="shared" si="241"/>
        <v>0.6280652538</v>
      </c>
      <c r="F90" s="591">
        <f t="shared" si="241"/>
        <v>0.2756920751</v>
      </c>
      <c r="G90" s="591">
        <f t="shared" si="241"/>
        <v>0.01654500669</v>
      </c>
      <c r="H90" s="591"/>
      <c r="I90" s="591">
        <f t="shared" si="211"/>
        <v>0.05372818142</v>
      </c>
      <c r="J90" s="591">
        <v>1.0</v>
      </c>
      <c r="K90" s="591">
        <f t="shared" ref="K90:V90" si="242">($B90*(K$72-1))/($B90*(K$72-1)+1)</f>
        <v>0.03451569403</v>
      </c>
      <c r="L90" s="591">
        <f t="shared" si="242"/>
        <v>0.1561586195</v>
      </c>
      <c r="M90" s="591">
        <f t="shared" si="242"/>
        <v>0.252934046</v>
      </c>
      <c r="N90" s="591">
        <f t="shared" si="242"/>
        <v>0.2865589286</v>
      </c>
      <c r="O90" s="591">
        <f t="shared" si="242"/>
        <v>0.2261892778</v>
      </c>
      <c r="P90" s="591">
        <f t="shared" si="242"/>
        <v>0.01040518689</v>
      </c>
      <c r="Q90" s="591">
        <f t="shared" si="242"/>
        <v>0.03451569403</v>
      </c>
      <c r="R90" s="591">
        <f t="shared" si="242"/>
        <v>0.09857267304</v>
      </c>
      <c r="S90" s="591">
        <f t="shared" si="242"/>
        <v>0.04036086066</v>
      </c>
      <c r="T90" s="591">
        <f t="shared" si="242"/>
        <v>0.06305051327</v>
      </c>
      <c r="U90" s="591">
        <f t="shared" si="242"/>
        <v>0.01450688291</v>
      </c>
      <c r="V90" s="591">
        <f t="shared" si="242"/>
        <v>0.1103774293</v>
      </c>
    </row>
    <row r="91" ht="15.75" customHeight="1"/>
    <row r="92" ht="15.75" customHeight="1">
      <c r="A92" s="578" t="s">
        <v>388</v>
      </c>
      <c r="B92" s="579"/>
      <c r="C92" s="579"/>
      <c r="D92" s="579"/>
      <c r="E92" s="579"/>
      <c r="F92" s="579"/>
      <c r="G92" s="579"/>
      <c r="H92" s="579"/>
      <c r="I92" s="579"/>
      <c r="J92" s="579"/>
      <c r="K92" s="579"/>
      <c r="L92" s="579"/>
      <c r="M92" s="579"/>
      <c r="N92" s="579"/>
      <c r="O92" s="579"/>
      <c r="P92" s="579"/>
      <c r="Q92" s="579"/>
      <c r="R92" s="579"/>
      <c r="S92" s="579"/>
      <c r="T92" s="579"/>
      <c r="U92" s="579"/>
      <c r="V92" s="579"/>
      <c r="W92" s="579"/>
      <c r="X92" s="268"/>
      <c r="Y92" s="268"/>
      <c r="Z92" s="268"/>
    </row>
    <row r="93" ht="15.75" customHeight="1">
      <c r="B93" s="309"/>
      <c r="C93" s="309"/>
    </row>
    <row r="94" ht="15.75" customHeight="1">
      <c r="A94" s="580" t="s">
        <v>693</v>
      </c>
      <c r="B94" s="581"/>
      <c r="C94" s="582" t="s">
        <v>288</v>
      </c>
      <c r="D94" s="582" t="s">
        <v>405</v>
      </c>
      <c r="E94" s="583" t="s">
        <v>292</v>
      </c>
      <c r="F94" s="583" t="s">
        <v>294</v>
      </c>
      <c r="G94" s="582" t="s">
        <v>296</v>
      </c>
      <c r="H94" s="583" t="s">
        <v>298</v>
      </c>
      <c r="I94" s="582" t="s">
        <v>300</v>
      </c>
      <c r="J94" s="583" t="s">
        <v>89</v>
      </c>
      <c r="K94" s="582" t="s">
        <v>303</v>
      </c>
      <c r="L94" s="583" t="s">
        <v>305</v>
      </c>
      <c r="M94" s="582" t="s">
        <v>307</v>
      </c>
      <c r="N94" s="583" t="s">
        <v>406</v>
      </c>
      <c r="O94" s="582" t="s">
        <v>311</v>
      </c>
      <c r="P94" s="583" t="s">
        <v>313</v>
      </c>
      <c r="Q94" s="582" t="s">
        <v>315</v>
      </c>
      <c r="R94" s="583" t="s">
        <v>407</v>
      </c>
      <c r="S94" s="582" t="s">
        <v>319</v>
      </c>
      <c r="T94" s="583" t="s">
        <v>321</v>
      </c>
      <c r="U94" s="582" t="s">
        <v>323</v>
      </c>
      <c r="V94" s="584" t="s">
        <v>408</v>
      </c>
    </row>
    <row r="95" ht="15.75" customHeight="1">
      <c r="A95" s="585"/>
      <c r="B95" s="35" t="s">
        <v>677</v>
      </c>
      <c r="C95" s="557">
        <v>1.79</v>
      </c>
      <c r="D95" s="557">
        <v>3.48</v>
      </c>
      <c r="E95" s="557">
        <v>8.19</v>
      </c>
      <c r="F95" s="557">
        <v>2.81</v>
      </c>
      <c r="G95" s="37" t="s">
        <v>70</v>
      </c>
      <c r="H95" s="557">
        <v>1.48</v>
      </c>
      <c r="I95" s="557">
        <v>1.72</v>
      </c>
      <c r="J95" s="149">
        <v>1.0</v>
      </c>
      <c r="K95" s="557">
        <v>1.96</v>
      </c>
      <c r="L95" s="557">
        <v>6.41</v>
      </c>
      <c r="M95" s="557">
        <v>4.73</v>
      </c>
      <c r="N95" s="37" t="s">
        <v>70</v>
      </c>
      <c r="O95" s="557">
        <v>2.05</v>
      </c>
      <c r="P95" s="37" t="s">
        <v>70</v>
      </c>
      <c r="Q95" s="557">
        <v>3.19</v>
      </c>
      <c r="R95" s="557">
        <v>2.39</v>
      </c>
      <c r="S95" s="37" t="s">
        <v>70</v>
      </c>
      <c r="T95" s="557">
        <v>1.85</v>
      </c>
      <c r="U95" s="557">
        <v>2.59</v>
      </c>
      <c r="V95" s="557">
        <v>2.24</v>
      </c>
    </row>
    <row r="96" ht="15.75" customHeight="1">
      <c r="A96" s="586"/>
      <c r="B96" s="41" t="s">
        <v>678</v>
      </c>
      <c r="C96" s="279">
        <v>39.0</v>
      </c>
      <c r="D96" s="279">
        <v>43.0</v>
      </c>
      <c r="E96" s="279" t="s">
        <v>679</v>
      </c>
      <c r="F96" s="279">
        <v>34.0</v>
      </c>
      <c r="G96" s="279">
        <v>10.0</v>
      </c>
      <c r="H96" s="279" t="s">
        <v>680</v>
      </c>
      <c r="I96" s="279" t="s">
        <v>681</v>
      </c>
      <c r="J96" s="279" t="s">
        <v>682</v>
      </c>
      <c r="K96" s="279" t="s">
        <v>683</v>
      </c>
      <c r="L96" s="279">
        <v>42.0</v>
      </c>
      <c r="M96" s="279">
        <v>35.0</v>
      </c>
      <c r="N96" s="279" t="s">
        <v>684</v>
      </c>
      <c r="O96" s="279" t="s">
        <v>685</v>
      </c>
      <c r="P96" s="279" t="s">
        <v>686</v>
      </c>
      <c r="Q96" s="279" t="s">
        <v>687</v>
      </c>
      <c r="R96" s="587">
        <v>43480.0</v>
      </c>
      <c r="S96" s="588">
        <v>45158.0</v>
      </c>
      <c r="T96" s="279" t="s">
        <v>688</v>
      </c>
      <c r="U96" s="279">
        <v>36.0</v>
      </c>
      <c r="V96" s="280">
        <v>33.0</v>
      </c>
    </row>
    <row r="97" ht="15.75" customHeight="1">
      <c r="A97" s="589" t="s">
        <v>573</v>
      </c>
      <c r="B97" s="598">
        <v>0.03</v>
      </c>
      <c r="C97" s="591">
        <f t="shared" ref="C97:F97" si="243">($B97*(C$95-1))/($B97*(C$95-1)+1)</f>
        <v>0.02315131386</v>
      </c>
      <c r="D97" s="591">
        <f t="shared" si="243"/>
        <v>0.06924795235</v>
      </c>
      <c r="E97" s="591">
        <f t="shared" si="243"/>
        <v>0.1774286419</v>
      </c>
      <c r="F97" s="591">
        <f t="shared" si="243"/>
        <v>0.05150336716</v>
      </c>
      <c r="G97" s="591"/>
      <c r="H97" s="591">
        <f t="shared" ref="H97:I97" si="244">($B97*(H$95-1))/($B97*(H$95-1)+1)</f>
        <v>0.0141955836</v>
      </c>
      <c r="I97" s="591">
        <f t="shared" si="244"/>
        <v>0.02114330462</v>
      </c>
      <c r="J97" s="591">
        <v>1.0</v>
      </c>
      <c r="K97" s="591">
        <f t="shared" ref="K97:M97" si="245">($B97*(K$95-1))/($B97*(K$95-1)+1)</f>
        <v>0.02799377916</v>
      </c>
      <c r="L97" s="591">
        <f t="shared" si="245"/>
        <v>0.1396369268</v>
      </c>
      <c r="M97" s="591">
        <f t="shared" si="245"/>
        <v>0.1006385466</v>
      </c>
      <c r="N97" s="591"/>
      <c r="O97" s="591">
        <f t="shared" ref="O97:O113" si="251">($B97*(O$95-1))/($B97*(O$95-1)+1)</f>
        <v>0.03053805138</v>
      </c>
      <c r="P97" s="591"/>
      <c r="Q97" s="591">
        <f t="shared" ref="Q97:R97" si="246">($B97*(Q$95-1))/($B97*(Q$95-1)+1)</f>
        <v>0.06164961997</v>
      </c>
      <c r="R97" s="591">
        <f t="shared" si="246"/>
        <v>0.04003071902</v>
      </c>
      <c r="S97" s="591"/>
      <c r="T97" s="591">
        <f t="shared" ref="T97:V97" si="247">($B97*(T$95-1))/($B97*(T$95-1)+1)</f>
        <v>0.02486591906</v>
      </c>
      <c r="U97" s="591">
        <f t="shared" si="247"/>
        <v>0.04552830009</v>
      </c>
      <c r="V97" s="591">
        <f t="shared" si="247"/>
        <v>0.03586579252</v>
      </c>
    </row>
    <row r="98" ht="15.75" customHeight="1">
      <c r="A98" s="589" t="s">
        <v>574</v>
      </c>
      <c r="B98" s="599">
        <v>0.08</v>
      </c>
      <c r="C98" s="591">
        <f t="shared" ref="C98:F98" si="248">($B98*(C$95-1))/($B98*(C$95-1)+1)</f>
        <v>0.05944319037</v>
      </c>
      <c r="D98" s="591">
        <f t="shared" si="248"/>
        <v>0.1655540721</v>
      </c>
      <c r="E98" s="591">
        <f t="shared" si="248"/>
        <v>0.3651599797</v>
      </c>
      <c r="F98" s="591">
        <f t="shared" si="248"/>
        <v>0.1264849755</v>
      </c>
      <c r="G98" s="591"/>
      <c r="H98" s="591">
        <f t="shared" ref="H98:I98" si="249">($B98*(H$95-1))/($B98*(H$95-1)+1)</f>
        <v>0.03697996918</v>
      </c>
      <c r="I98" s="591">
        <f t="shared" si="249"/>
        <v>0.05446293495</v>
      </c>
      <c r="J98" s="591">
        <v>1.0</v>
      </c>
      <c r="K98" s="591">
        <f t="shared" ref="K98:M98" si="250">($B98*(K$95-1))/($B98*(K$95-1)+1)</f>
        <v>0.07132243685</v>
      </c>
      <c r="L98" s="591">
        <f t="shared" si="250"/>
        <v>0.302065885</v>
      </c>
      <c r="M98" s="591">
        <f t="shared" si="250"/>
        <v>0.2298213185</v>
      </c>
      <c r="N98" s="591"/>
      <c r="O98" s="591">
        <f t="shared" si="251"/>
        <v>0.07749077491</v>
      </c>
      <c r="P98" s="591"/>
      <c r="Q98" s="591">
        <f t="shared" ref="Q98:R98" si="252">($B98*(Q$95-1))/($B98*(Q$95-1)+1)</f>
        <v>0.1490810075</v>
      </c>
      <c r="R98" s="591">
        <f t="shared" si="252"/>
        <v>0.1000719942</v>
      </c>
      <c r="S98" s="591"/>
      <c r="T98" s="591">
        <f t="shared" ref="T98:V98" si="253">($B98*(T$95-1))/($B98*(T$95-1)+1)</f>
        <v>0.06367041199</v>
      </c>
      <c r="U98" s="591">
        <f t="shared" si="253"/>
        <v>0.1128459901</v>
      </c>
      <c r="V98" s="591">
        <f t="shared" si="253"/>
        <v>0.09024745269</v>
      </c>
    </row>
    <row r="99" ht="15.75" customHeight="1">
      <c r="A99" s="589" t="s">
        <v>575</v>
      </c>
      <c r="B99" s="599">
        <v>0.1245</v>
      </c>
      <c r="C99" s="591">
        <f t="shared" ref="C99:F99" si="254">($B99*(C$95-1))/($B99*(C$95-1)+1)</f>
        <v>0.08954755066</v>
      </c>
      <c r="D99" s="591">
        <f t="shared" si="254"/>
        <v>0.2359179682</v>
      </c>
      <c r="E99" s="591">
        <f t="shared" si="254"/>
        <v>0.4723386741</v>
      </c>
      <c r="F99" s="591">
        <f t="shared" si="254"/>
        <v>0.1839033089</v>
      </c>
      <c r="G99" s="591"/>
      <c r="H99" s="591">
        <f t="shared" ref="H99:I99" si="255">($B99*(H$95-1))/($B99*(H$95-1)+1)</f>
        <v>0.05639012607</v>
      </c>
      <c r="I99" s="591">
        <f t="shared" si="255"/>
        <v>0.08226570243</v>
      </c>
      <c r="J99" s="591">
        <v>1.0</v>
      </c>
      <c r="K99" s="591">
        <f t="shared" ref="K99:M99" si="256">($B99*(K$95-1))/($B99*(K$95-1)+1)</f>
        <v>0.10676004</v>
      </c>
      <c r="L99" s="591">
        <f t="shared" si="256"/>
        <v>0.4024660227</v>
      </c>
      <c r="M99" s="591">
        <f t="shared" si="256"/>
        <v>0.3171194734</v>
      </c>
      <c r="N99" s="591"/>
      <c r="O99" s="591">
        <f t="shared" si="251"/>
        <v>0.1156116651</v>
      </c>
      <c r="P99" s="591"/>
      <c r="Q99" s="591">
        <f t="shared" ref="Q99:R99" si="257">($B99*(Q$95-1))/($B99*(Q$95-1)+1)</f>
        <v>0.2142410944</v>
      </c>
      <c r="R99" s="591">
        <f t="shared" si="257"/>
        <v>0.1475250521</v>
      </c>
      <c r="S99" s="591"/>
      <c r="T99" s="591">
        <f t="shared" ref="T99:V99" si="258">($B99*(T$95-1))/($B99*(T$95-1)+1)</f>
        <v>0.0956977822</v>
      </c>
      <c r="U99" s="591">
        <f t="shared" si="258"/>
        <v>0.1652441035</v>
      </c>
      <c r="V99" s="591">
        <f t="shared" si="258"/>
        <v>0.1337341257</v>
      </c>
    </row>
    <row r="100" ht="15.75" customHeight="1">
      <c r="A100" s="589" t="s">
        <v>417</v>
      </c>
      <c r="B100" s="599">
        <v>0.044000000000000004</v>
      </c>
      <c r="C100" s="591">
        <f t="shared" ref="C100:F100" si="259">($B100*(C$95-1))/($B100*(C$95-1)+1)</f>
        <v>0.03359233059</v>
      </c>
      <c r="D100" s="591">
        <f t="shared" si="259"/>
        <v>0.09838430467</v>
      </c>
      <c r="E100" s="591">
        <f t="shared" si="259"/>
        <v>0.2403293932</v>
      </c>
      <c r="F100" s="591">
        <f t="shared" si="259"/>
        <v>0.07376532918</v>
      </c>
      <c r="G100" s="591"/>
      <c r="H100" s="591">
        <f t="shared" ref="H100:I100" si="260">($B100*(H$95-1))/($B100*(H$95-1)+1)</f>
        <v>0.02068317142</v>
      </c>
      <c r="I100" s="591">
        <f t="shared" si="260"/>
        <v>0.03070719603</v>
      </c>
      <c r="J100" s="591">
        <v>1.0</v>
      </c>
      <c r="K100" s="591">
        <f t="shared" ref="K100:M100" si="261">($B100*(K$95-1))/($B100*(K$95-1)+1)</f>
        <v>0.04052809334</v>
      </c>
      <c r="L100" s="591">
        <f t="shared" si="261"/>
        <v>0.1922716552</v>
      </c>
      <c r="M100" s="591">
        <f t="shared" si="261"/>
        <v>0.1409820293</v>
      </c>
      <c r="N100" s="591"/>
      <c r="O100" s="591">
        <f t="shared" si="251"/>
        <v>0.04415981648</v>
      </c>
      <c r="P100" s="591"/>
      <c r="Q100" s="591">
        <f t="shared" ref="Q100:R100" si="262">($B100*(Q$95-1))/($B100*(Q$95-1)+1)</f>
        <v>0.08789083878</v>
      </c>
      <c r="R100" s="591">
        <f t="shared" si="262"/>
        <v>0.0576350409</v>
      </c>
      <c r="S100" s="591"/>
      <c r="T100" s="591">
        <f t="shared" ref="T100:V100" si="263">($B100*(T$95-1))/($B100*(T$95-1)+1)</f>
        <v>0.03605166763</v>
      </c>
      <c r="U100" s="591">
        <f t="shared" si="263"/>
        <v>0.06538562189</v>
      </c>
      <c r="V100" s="591">
        <f t="shared" si="263"/>
        <v>0.05173721742</v>
      </c>
    </row>
    <row r="101" ht="15.75" customHeight="1">
      <c r="A101" s="589" t="s">
        <v>689</v>
      </c>
      <c r="B101" s="599">
        <v>0.07333333333333333</v>
      </c>
      <c r="C101" s="591">
        <f t="shared" ref="C101:F101" si="264">($B101*(C$95-1))/($B101*(C$95-1)+1)</f>
        <v>0.0547608545</v>
      </c>
      <c r="D101" s="591">
        <f t="shared" si="264"/>
        <v>0.1538808664</v>
      </c>
      <c r="E101" s="591">
        <f t="shared" si="264"/>
        <v>0.345235497</v>
      </c>
      <c r="F101" s="591">
        <f t="shared" si="264"/>
        <v>0.1171796834</v>
      </c>
      <c r="G101" s="591"/>
      <c r="H101" s="591">
        <f t="shared" ref="H101:I101" si="265">($B101*(H$95-1))/($B101*(H$95-1)+1)</f>
        <v>0.03400309119</v>
      </c>
      <c r="I101" s="591">
        <f t="shared" si="265"/>
        <v>0.05015197568</v>
      </c>
      <c r="J101" s="591">
        <v>1.0</v>
      </c>
      <c r="K101" s="591">
        <f t="shared" ref="K101:M101" si="266">($B101*(K$95-1))/($B101*(K$95-1)+1)</f>
        <v>0.06576980568</v>
      </c>
      <c r="L101" s="591">
        <f t="shared" si="266"/>
        <v>0.2840437211</v>
      </c>
      <c r="M101" s="591">
        <f t="shared" si="266"/>
        <v>0.2147830184</v>
      </c>
      <c r="N101" s="591"/>
      <c r="O101" s="591">
        <f t="shared" si="251"/>
        <v>0.07149489322</v>
      </c>
      <c r="P101" s="591"/>
      <c r="Q101" s="591">
        <f t="shared" ref="Q101:R101" si="267">($B101*(Q$95-1))/($B101*(Q$95-1)+1)</f>
        <v>0.1383767017</v>
      </c>
      <c r="R101" s="591">
        <f t="shared" si="267"/>
        <v>0.09250408373</v>
      </c>
      <c r="S101" s="591"/>
      <c r="T101" s="591">
        <f t="shared" ref="T101:V101" si="268">($B101*(T$95-1))/($B101*(T$95-1)+1)</f>
        <v>0.05867587072</v>
      </c>
      <c r="U101" s="591">
        <f t="shared" si="268"/>
        <v>0.1044241447</v>
      </c>
      <c r="V101" s="591">
        <f t="shared" si="268"/>
        <v>0.08335370325</v>
      </c>
    </row>
    <row r="102" ht="15.75" customHeight="1">
      <c r="A102" s="589" t="s">
        <v>391</v>
      </c>
      <c r="B102" s="599">
        <v>0.11516666666666665</v>
      </c>
      <c r="C102" s="591">
        <f t="shared" ref="C102:F102" si="269">($B102*(C$95-1))/($B102*(C$95-1)+1)</f>
        <v>0.08339431307</v>
      </c>
      <c r="D102" s="591">
        <f t="shared" si="269"/>
        <v>0.2221611475</v>
      </c>
      <c r="E102" s="591">
        <f t="shared" si="269"/>
        <v>0.452968512</v>
      </c>
      <c r="F102" s="591">
        <f t="shared" si="269"/>
        <v>0.1724948315</v>
      </c>
      <c r="G102" s="591"/>
      <c r="H102" s="591">
        <f t="shared" ref="H102:I102" si="270">($B102*(H$95-1))/($B102*(H$95-1)+1)</f>
        <v>0.05238420135</v>
      </c>
      <c r="I102" s="591">
        <f t="shared" si="270"/>
        <v>0.07657075315</v>
      </c>
      <c r="J102" s="591">
        <v>1.0</v>
      </c>
      <c r="K102" s="591">
        <f t="shared" ref="K102:M102" si="271">($B102*(K$95-1))/($B102*(K$95-1)+1)</f>
        <v>0.09955337848</v>
      </c>
      <c r="L102" s="591">
        <f t="shared" si="271"/>
        <v>0.3838766685</v>
      </c>
      <c r="M102" s="591">
        <f t="shared" si="271"/>
        <v>0.3004897737</v>
      </c>
      <c r="N102" s="591"/>
      <c r="O102" s="591">
        <f t="shared" si="251"/>
        <v>0.107879653</v>
      </c>
      <c r="P102" s="591"/>
      <c r="Q102" s="591">
        <f t="shared" ref="Q102:R102" si="272">($B102*(Q$95-1))/($B102*(Q$95-1)+1)</f>
        <v>0.2014150925</v>
      </c>
      <c r="R102" s="591">
        <f t="shared" si="272"/>
        <v>0.1379917218</v>
      </c>
      <c r="S102" s="591"/>
      <c r="T102" s="591">
        <f t="shared" ref="T102:V102" si="273">($B102*(T$95-1))/($B102*(T$95-1)+1)</f>
        <v>0.08916332061</v>
      </c>
      <c r="U102" s="591">
        <f t="shared" si="273"/>
        <v>0.1547736272</v>
      </c>
      <c r="V102" s="591">
        <f t="shared" si="273"/>
        <v>0.1249613525</v>
      </c>
    </row>
    <row r="103" ht="15.75" customHeight="1">
      <c r="A103" s="589" t="s">
        <v>392</v>
      </c>
      <c r="B103" s="599">
        <v>0.16349999999999998</v>
      </c>
      <c r="C103" s="591">
        <f t="shared" ref="C103:F103" si="274">($B103*(C$95-1))/($B103*(C$95-1)+1)</f>
        <v>0.1143898367</v>
      </c>
      <c r="D103" s="591">
        <f t="shared" si="274"/>
        <v>0.2884993027</v>
      </c>
      <c r="E103" s="591">
        <f t="shared" si="274"/>
        <v>0.5403492886</v>
      </c>
      <c r="F103" s="591">
        <f t="shared" si="274"/>
        <v>0.2283563605</v>
      </c>
      <c r="G103" s="591"/>
      <c r="H103" s="591">
        <f t="shared" ref="H103:I103" si="275">($B103*(H$95-1))/($B103*(H$95-1)+1)</f>
        <v>0.07276908241</v>
      </c>
      <c r="I103" s="591">
        <f t="shared" si="275"/>
        <v>0.1053215474</v>
      </c>
      <c r="J103" s="591">
        <v>1.0</v>
      </c>
      <c r="K103" s="591">
        <f t="shared" ref="K103:M103" si="276">($B103*(K$95-1))/($B103*(K$95-1)+1)</f>
        <v>0.135665883</v>
      </c>
      <c r="L103" s="591">
        <f t="shared" si="276"/>
        <v>0.4693651219</v>
      </c>
      <c r="M103" s="591">
        <f t="shared" si="276"/>
        <v>0.3788260433</v>
      </c>
      <c r="N103" s="591"/>
      <c r="O103" s="591">
        <f t="shared" si="251"/>
        <v>0.1465210063</v>
      </c>
      <c r="P103" s="591"/>
      <c r="Q103" s="591">
        <f t="shared" ref="Q103:R103" si="277">($B103*(Q$95-1))/($B103*(Q$95-1)+1)</f>
        <v>0.2636582196</v>
      </c>
      <c r="R103" s="591">
        <f t="shared" si="277"/>
        <v>0.1851800548</v>
      </c>
      <c r="S103" s="591"/>
      <c r="T103" s="591">
        <f t="shared" ref="T103:V103" si="278">($B103*(T$95-1))/($B103*(T$95-1)+1)</f>
        <v>0.1220176035</v>
      </c>
      <c r="U103" s="591">
        <f t="shared" si="278"/>
        <v>0.2063271599</v>
      </c>
      <c r="V103" s="591">
        <f t="shared" si="278"/>
        <v>0.1685651097</v>
      </c>
    </row>
    <row r="104" ht="15.75" customHeight="1">
      <c r="A104" s="589" t="s">
        <v>393</v>
      </c>
      <c r="B104" s="599">
        <v>0.228</v>
      </c>
      <c r="C104" s="591">
        <f t="shared" ref="C104:F104" si="279">($B104*(C$95-1))/($B104*(C$95-1)+1)</f>
        <v>0.1526285462</v>
      </c>
      <c r="D104" s="591">
        <f t="shared" si="279"/>
        <v>0.3612019624</v>
      </c>
      <c r="E104" s="591">
        <f t="shared" si="279"/>
        <v>0.6211145295</v>
      </c>
      <c r="F104" s="591">
        <f t="shared" si="279"/>
        <v>0.2921256052</v>
      </c>
      <c r="G104" s="591"/>
      <c r="H104" s="591">
        <f t="shared" ref="H104:I104" si="280">($B104*(H$95-1))/($B104*(H$95-1)+1)</f>
        <v>0.09864436112</v>
      </c>
      <c r="I104" s="591">
        <f t="shared" si="280"/>
        <v>0.1410115448</v>
      </c>
      <c r="J104" s="591">
        <v>1.0</v>
      </c>
      <c r="K104" s="591">
        <f t="shared" ref="K104:M104" si="281">($B104*(K$95-1))/($B104*(K$95-1)+1)</f>
        <v>0.1795746915</v>
      </c>
      <c r="L104" s="591">
        <f t="shared" si="281"/>
        <v>0.5522682093</v>
      </c>
      <c r="M104" s="591">
        <f t="shared" si="281"/>
        <v>0.4595879899</v>
      </c>
      <c r="N104" s="591"/>
      <c r="O104" s="591">
        <f t="shared" si="251"/>
        <v>0.1931579797</v>
      </c>
      <c r="P104" s="591"/>
      <c r="Q104" s="591">
        <f t="shared" ref="Q104:R104" si="282">($B104*(Q$95-1))/($B104*(Q$95-1)+1)</f>
        <v>0.333030974</v>
      </c>
      <c r="R104" s="591">
        <f t="shared" si="282"/>
        <v>0.2406524314</v>
      </c>
      <c r="S104" s="591"/>
      <c r="T104" s="591">
        <f t="shared" ref="T104:V104" si="283">($B104*(T$95-1))/($B104*(T$95-1)+1)</f>
        <v>0.1623387502</v>
      </c>
      <c r="U104" s="591">
        <f t="shared" si="283"/>
        <v>0.2660658192</v>
      </c>
      <c r="V104" s="591">
        <f t="shared" si="283"/>
        <v>0.2204066359</v>
      </c>
    </row>
    <row r="105" ht="15.75" customHeight="1">
      <c r="A105" s="589" t="s">
        <v>394</v>
      </c>
      <c r="B105" s="599">
        <v>0.27166666666666667</v>
      </c>
      <c r="C105" s="591">
        <f t="shared" ref="C105:F105" si="284">($B105*(C$95-1))/($B105*(C$95-1)+1)</f>
        <v>0.1766949792</v>
      </c>
      <c r="D105" s="591">
        <f t="shared" si="284"/>
        <v>0.402533259</v>
      </c>
      <c r="E105" s="591">
        <f t="shared" si="284"/>
        <v>0.6613938159</v>
      </c>
      <c r="F105" s="591">
        <f t="shared" si="284"/>
        <v>0.329631409</v>
      </c>
      <c r="G105" s="591"/>
      <c r="H105" s="591">
        <f t="shared" ref="H105:I105" si="285">($B105*(H$95-1))/($B105*(H$95-1)+1)</f>
        <v>0.1153573956</v>
      </c>
      <c r="I105" s="591">
        <f t="shared" si="285"/>
        <v>0.1635998662</v>
      </c>
      <c r="J105" s="591">
        <v>1.0</v>
      </c>
      <c r="K105" s="591">
        <f t="shared" ref="K105:M105" si="286">($B105*(K$95-1))/($B105*(K$95-1)+1)</f>
        <v>0.2068527919</v>
      </c>
      <c r="L105" s="591">
        <f t="shared" si="286"/>
        <v>0.5950952538</v>
      </c>
      <c r="M105" s="591">
        <f t="shared" si="286"/>
        <v>0.5033071466</v>
      </c>
      <c r="N105" s="591"/>
      <c r="O105" s="591">
        <f t="shared" si="251"/>
        <v>0.2219412566</v>
      </c>
      <c r="P105" s="591"/>
      <c r="Q105" s="591">
        <f t="shared" ref="Q105:R105" si="287">($B105*(Q$95-1))/($B105*(Q$95-1)+1)</f>
        <v>0.3730210978</v>
      </c>
      <c r="R105" s="591">
        <f t="shared" si="287"/>
        <v>0.2741086659</v>
      </c>
      <c r="S105" s="591"/>
      <c r="T105" s="591">
        <f t="shared" ref="T105:V105" si="288">($B105*(T$95-1))/($B105*(T$95-1)+1)</f>
        <v>0.1875973191</v>
      </c>
      <c r="U105" s="591">
        <f t="shared" si="288"/>
        <v>0.301651594</v>
      </c>
      <c r="V105" s="591">
        <f t="shared" si="288"/>
        <v>0.251982247</v>
      </c>
    </row>
    <row r="106" ht="15.75" customHeight="1">
      <c r="A106" s="589" t="s">
        <v>395</v>
      </c>
      <c r="B106" s="599">
        <v>0.3158333333333333</v>
      </c>
      <c r="C106" s="591">
        <f t="shared" ref="C106:F106" si="289">($B106*(C$95-1))/($B106*(C$95-1)+1)</f>
        <v>0.1996852095</v>
      </c>
      <c r="D106" s="591">
        <f t="shared" si="289"/>
        <v>0.4392313731</v>
      </c>
      <c r="E106" s="591">
        <f t="shared" si="289"/>
        <v>0.6942682949</v>
      </c>
      <c r="F106" s="591">
        <f t="shared" si="289"/>
        <v>0.3637293941</v>
      </c>
      <c r="G106" s="591"/>
      <c r="H106" s="591">
        <f t="shared" ref="H106:I106" si="290">($B106*(H$95-1))/($B106*(H$95-1)+1)</f>
        <v>0.1316429316</v>
      </c>
      <c r="I106" s="591">
        <f t="shared" si="290"/>
        <v>0.1852696757</v>
      </c>
      <c r="J106" s="591">
        <v>1.0</v>
      </c>
      <c r="K106" s="591">
        <f t="shared" ref="K106:M106" si="291">($B106*(K$95-1))/($B106*(K$95-1)+1)</f>
        <v>0.2326580724</v>
      </c>
      <c r="L106" s="591">
        <f t="shared" si="291"/>
        <v>0.6308135331</v>
      </c>
      <c r="M106" s="591">
        <f t="shared" si="291"/>
        <v>0.540875474</v>
      </c>
      <c r="N106" s="591"/>
      <c r="O106" s="591">
        <f t="shared" si="251"/>
        <v>0.2490378297</v>
      </c>
      <c r="P106" s="591"/>
      <c r="Q106" s="591">
        <f t="shared" ref="Q106:R106" si="292">($B106*(Q$95-1))/($B106*(Q$95-1)+1)</f>
        <v>0.408869907</v>
      </c>
      <c r="R106" s="591">
        <f t="shared" si="292"/>
        <v>0.3050769917</v>
      </c>
      <c r="S106" s="591"/>
      <c r="T106" s="591">
        <f t="shared" ref="T106:V106" si="293">($B106*(T$95-1))/($B106*(T$95-1)+1)</f>
        <v>0.2116414282</v>
      </c>
      <c r="U106" s="591">
        <f t="shared" si="293"/>
        <v>0.3342986004</v>
      </c>
      <c r="V106" s="591">
        <f t="shared" si="293"/>
        <v>0.2814199142</v>
      </c>
    </row>
    <row r="107" ht="15.75" customHeight="1">
      <c r="A107" s="589" t="s">
        <v>396</v>
      </c>
      <c r="B107" s="599">
        <v>0.36349999999999993</v>
      </c>
      <c r="C107" s="591">
        <f t="shared" ref="C107:F107" si="294">($B107*(C$95-1))/($B107*(C$95-1)+1)</f>
        <v>0.2230988257</v>
      </c>
      <c r="D107" s="591">
        <f t="shared" si="294"/>
        <v>0.4740938637</v>
      </c>
      <c r="E107" s="591">
        <f t="shared" si="294"/>
        <v>0.7232649752</v>
      </c>
      <c r="F107" s="591">
        <f t="shared" si="294"/>
        <v>0.396840045</v>
      </c>
      <c r="G107" s="591"/>
      <c r="H107" s="591">
        <f t="shared" ref="H107:I107" si="295">($B107*(H$95-1))/($B107*(H$95-1)+1)</f>
        <v>0.1485593624</v>
      </c>
      <c r="I107" s="591">
        <f t="shared" si="295"/>
        <v>0.2074311258</v>
      </c>
      <c r="J107" s="591">
        <v>1.0</v>
      </c>
      <c r="K107" s="591">
        <f t="shared" ref="K107:M107" si="296">($B107*(K$95-1))/($B107*(K$95-1)+1)</f>
        <v>0.2586881746</v>
      </c>
      <c r="L107" s="591">
        <f t="shared" si="296"/>
        <v>0.6629063874</v>
      </c>
      <c r="M107" s="591">
        <f t="shared" si="296"/>
        <v>0.5755256584</v>
      </c>
      <c r="N107" s="591"/>
      <c r="O107" s="591">
        <f t="shared" si="251"/>
        <v>0.2762407947</v>
      </c>
      <c r="P107" s="591"/>
      <c r="Q107" s="591">
        <f t="shared" ref="Q107:R107" si="297">($B107*(Q$95-1))/($B107*(Q$95-1)+1)</f>
        <v>0.4432272774</v>
      </c>
      <c r="R107" s="591">
        <f t="shared" si="297"/>
        <v>0.3356651487</v>
      </c>
      <c r="S107" s="591"/>
      <c r="T107" s="591">
        <f t="shared" ref="T107:V107" si="298">($B107*(T$95-1))/($B107*(T$95-1)+1)</f>
        <v>0.2360434691</v>
      </c>
      <c r="U107" s="591">
        <f t="shared" si="298"/>
        <v>0.3662723825</v>
      </c>
      <c r="V107" s="591">
        <f t="shared" si="298"/>
        <v>0.31069661</v>
      </c>
    </row>
    <row r="108" ht="15.75" customHeight="1">
      <c r="A108" s="589" t="s">
        <v>397</v>
      </c>
      <c r="B108" s="599">
        <v>0.3685</v>
      </c>
      <c r="C108" s="591">
        <f t="shared" ref="C108:F108" si="299">($B108*(C$95-1))/($B108*(C$95-1)+1)</f>
        <v>0.2254756548</v>
      </c>
      <c r="D108" s="591">
        <f t="shared" si="299"/>
        <v>0.4775012017</v>
      </c>
      <c r="E108" s="591">
        <f t="shared" si="299"/>
        <v>0.7259909878</v>
      </c>
      <c r="F108" s="591">
        <f t="shared" si="299"/>
        <v>0.4001145781</v>
      </c>
      <c r="G108" s="591"/>
      <c r="H108" s="591">
        <f t="shared" ref="H108:I108" si="300">($B108*(H$95-1))/($B108*(H$95-1)+1)</f>
        <v>0.1502956971</v>
      </c>
      <c r="I108" s="591">
        <f t="shared" si="300"/>
        <v>0.2096860873</v>
      </c>
      <c r="J108" s="591">
        <v>1.0</v>
      </c>
      <c r="K108" s="591">
        <f t="shared" ref="K108:M108" si="301">($B108*(K$95-1))/($B108*(K$95-1)+1)</f>
        <v>0.2613166292</v>
      </c>
      <c r="L108" s="591">
        <f t="shared" si="301"/>
        <v>0.6659523615</v>
      </c>
      <c r="M108" s="591">
        <f t="shared" si="301"/>
        <v>0.5788595939</v>
      </c>
      <c r="N108" s="591"/>
      <c r="O108" s="591">
        <f t="shared" si="251"/>
        <v>0.2789804784</v>
      </c>
      <c r="P108" s="591"/>
      <c r="Q108" s="591">
        <f t="shared" ref="Q108:R108" si="302">($B108*(Q$95-1))/($B108*(Q$95-1)+1)</f>
        <v>0.4466011627</v>
      </c>
      <c r="R108" s="591">
        <f t="shared" si="302"/>
        <v>0.3387183701</v>
      </c>
      <c r="S108" s="591"/>
      <c r="T108" s="591">
        <f t="shared" ref="T108:V108" si="303">($B108*(T$95-1))/($B108*(T$95-1)+1)</f>
        <v>0.2385158674</v>
      </c>
      <c r="U108" s="591">
        <f t="shared" si="303"/>
        <v>0.3694491823</v>
      </c>
      <c r="V108" s="591">
        <f t="shared" si="303"/>
        <v>0.3136299367</v>
      </c>
    </row>
    <row r="109" ht="15.75" customHeight="1">
      <c r="A109" s="589" t="s">
        <v>398</v>
      </c>
      <c r="B109" s="599">
        <v>0.3685</v>
      </c>
      <c r="C109" s="591">
        <f t="shared" ref="C109:F109" si="304">($B109*(C$95-1))/($B109*(C$95-1)+1)</f>
        <v>0.2254756548</v>
      </c>
      <c r="D109" s="591">
        <f t="shared" si="304"/>
        <v>0.4775012017</v>
      </c>
      <c r="E109" s="591">
        <f t="shared" si="304"/>
        <v>0.7259909878</v>
      </c>
      <c r="F109" s="591">
        <f t="shared" si="304"/>
        <v>0.4001145781</v>
      </c>
      <c r="G109" s="591"/>
      <c r="H109" s="591">
        <f t="shared" ref="H109:I109" si="305">($B109*(H$95-1))/($B109*(H$95-1)+1)</f>
        <v>0.1502956971</v>
      </c>
      <c r="I109" s="591">
        <f t="shared" si="305"/>
        <v>0.2096860873</v>
      </c>
      <c r="J109" s="591">
        <v>1.0</v>
      </c>
      <c r="K109" s="591">
        <f t="shared" ref="K109:M109" si="306">($B109*(K$95-1))/($B109*(K$95-1)+1)</f>
        <v>0.2613166292</v>
      </c>
      <c r="L109" s="591">
        <f t="shared" si="306"/>
        <v>0.6659523615</v>
      </c>
      <c r="M109" s="591">
        <f t="shared" si="306"/>
        <v>0.5788595939</v>
      </c>
      <c r="N109" s="591"/>
      <c r="O109" s="591">
        <f t="shared" si="251"/>
        <v>0.2789804784</v>
      </c>
      <c r="P109" s="591"/>
      <c r="Q109" s="591">
        <f t="shared" ref="Q109:R109" si="307">($B109*(Q$95-1))/($B109*(Q$95-1)+1)</f>
        <v>0.4466011627</v>
      </c>
      <c r="R109" s="591">
        <f t="shared" si="307"/>
        <v>0.3387183701</v>
      </c>
      <c r="S109" s="591"/>
      <c r="T109" s="591">
        <f t="shared" ref="T109:V109" si="308">($B109*(T$95-1))/($B109*(T$95-1)+1)</f>
        <v>0.2385158674</v>
      </c>
      <c r="U109" s="591">
        <f t="shared" si="308"/>
        <v>0.3694491823</v>
      </c>
      <c r="V109" s="591">
        <f t="shared" si="308"/>
        <v>0.3136299367</v>
      </c>
    </row>
    <row r="110" ht="15.75" customHeight="1">
      <c r="A110" s="421" t="s">
        <v>502</v>
      </c>
      <c r="B110" s="599">
        <v>0.285</v>
      </c>
      <c r="C110" s="591">
        <f t="shared" ref="C110:F110" si="309">($B110*(C$95-1))/($B110*(C$95-1)+1)</f>
        <v>0.1837734155</v>
      </c>
      <c r="D110" s="591">
        <f t="shared" si="309"/>
        <v>0.4141082728</v>
      </c>
      <c r="E110" s="591">
        <f t="shared" si="309"/>
        <v>0.6720397488</v>
      </c>
      <c r="F110" s="591">
        <f t="shared" si="309"/>
        <v>0.3403041198</v>
      </c>
      <c r="G110" s="591"/>
      <c r="H110" s="591">
        <f t="shared" ref="H110:I110" si="310">($B110*(H$95-1))/($B110*(H$95-1)+1)</f>
        <v>0.1203377903</v>
      </c>
      <c r="I110" s="591">
        <f t="shared" si="310"/>
        <v>0.1702621971</v>
      </c>
      <c r="J110" s="591">
        <v>1.0</v>
      </c>
      <c r="K110" s="591">
        <f t="shared" ref="K110:M110" si="311">($B110*(K$95-1))/($B110*(K$95-1)+1)</f>
        <v>0.2148241206</v>
      </c>
      <c r="L110" s="591">
        <f t="shared" si="311"/>
        <v>0.6065857545</v>
      </c>
      <c r="M110" s="591">
        <f t="shared" si="311"/>
        <v>0.5152807736</v>
      </c>
      <c r="N110" s="591"/>
      <c r="O110" s="591">
        <f t="shared" si="251"/>
        <v>0.2303251876</v>
      </c>
      <c r="P110" s="591"/>
      <c r="Q110" s="591">
        <f t="shared" ref="Q110:R110" si="312">($B110*(Q$95-1))/($B110*(Q$95-1)+1)</f>
        <v>0.3842933227</v>
      </c>
      <c r="R110" s="591">
        <f t="shared" si="312"/>
        <v>0.2837445833</v>
      </c>
      <c r="S110" s="591"/>
      <c r="T110" s="591">
        <f t="shared" ref="T110:V110" si="313">($B110*(T$95-1))/($B110*(T$95-1)+1)</f>
        <v>0.1950090561</v>
      </c>
      <c r="U110" s="591">
        <f t="shared" si="313"/>
        <v>0.3118397963</v>
      </c>
      <c r="V110" s="591">
        <f t="shared" si="313"/>
        <v>0.2611201419</v>
      </c>
    </row>
    <row r="111" ht="15.75" customHeight="1">
      <c r="A111" s="421" t="s">
        <v>503</v>
      </c>
      <c r="B111" s="599">
        <v>0.25733333333333336</v>
      </c>
      <c r="C111" s="591">
        <f t="shared" ref="C111:F111" si="314">($B111*(C$95-1))/($B111*(C$95-1)+1)</f>
        <v>0.1689474442</v>
      </c>
      <c r="D111" s="591">
        <f t="shared" si="314"/>
        <v>0.3895689543</v>
      </c>
      <c r="E111" s="591">
        <f t="shared" si="314"/>
        <v>0.6491507108</v>
      </c>
      <c r="F111" s="591">
        <f t="shared" si="314"/>
        <v>0.3177662758</v>
      </c>
      <c r="G111" s="591"/>
      <c r="H111" s="591">
        <f t="shared" ref="H111:I111" si="315">($B111*(H$95-1))/($B111*(H$95-1)+1)</f>
        <v>0.109940188</v>
      </c>
      <c r="I111" s="591">
        <f t="shared" si="315"/>
        <v>0.1563174946</v>
      </c>
      <c r="J111" s="591">
        <v>1.0</v>
      </c>
      <c r="K111" s="591">
        <f t="shared" ref="K111:M111" si="316">($B111*(K$95-1))/($B111*(K$95-1)+1)</f>
        <v>0.1981011034</v>
      </c>
      <c r="L111" s="591">
        <f t="shared" si="316"/>
        <v>0.5819700914</v>
      </c>
      <c r="M111" s="591">
        <f t="shared" si="316"/>
        <v>0.489757737</v>
      </c>
      <c r="N111" s="591"/>
      <c r="O111" s="591">
        <f t="shared" si="251"/>
        <v>0.2127224059</v>
      </c>
      <c r="P111" s="591"/>
      <c r="Q111" s="591">
        <f t="shared" ref="Q111:R111" si="317">($B111*(Q$95-1))/($B111*(Q$95-1)+1)</f>
        <v>0.3604338817</v>
      </c>
      <c r="R111" s="591">
        <f t="shared" si="317"/>
        <v>0.2634566471</v>
      </c>
      <c r="S111" s="591"/>
      <c r="T111" s="591">
        <f t="shared" ref="T111:V111" si="318">($B111*(T$95-1))/($B111*(T$95-1)+1)</f>
        <v>0.1794759586</v>
      </c>
      <c r="U111" s="591">
        <f t="shared" si="318"/>
        <v>0.290357376</v>
      </c>
      <c r="V111" s="591">
        <f t="shared" si="318"/>
        <v>0.2419035297</v>
      </c>
    </row>
    <row r="112" ht="15.75" customHeight="1">
      <c r="A112" s="421" t="s">
        <v>459</v>
      </c>
      <c r="B112" s="599">
        <v>0.20199999999999999</v>
      </c>
      <c r="C112" s="591">
        <f t="shared" ref="C112:F112" si="319">($B112*(C$95-1))/($B112*(C$95-1)+1)</f>
        <v>0.137618793</v>
      </c>
      <c r="D112" s="591">
        <f t="shared" si="319"/>
        <v>0.3337597271</v>
      </c>
      <c r="E112" s="591">
        <f t="shared" si="319"/>
        <v>0.5922328514</v>
      </c>
      <c r="F112" s="591">
        <f t="shared" si="319"/>
        <v>0.2677318727</v>
      </c>
      <c r="G112" s="591"/>
      <c r="H112" s="591">
        <f t="shared" ref="H112:I112" si="320">($B112*(H$95-1))/($B112*(H$95-1)+1)</f>
        <v>0.08838973162</v>
      </c>
      <c r="I112" s="591">
        <f t="shared" si="320"/>
        <v>0.1269730409</v>
      </c>
      <c r="J112" s="591">
        <v>1.0</v>
      </c>
      <c r="K112" s="591">
        <f t="shared" ref="K112:M112" si="321">($B112*(K$95-1))/($B112*(K$95-1)+1)</f>
        <v>0.1624229429</v>
      </c>
      <c r="L112" s="591">
        <f t="shared" si="321"/>
        <v>0.5221758202</v>
      </c>
      <c r="M112" s="591">
        <f t="shared" si="321"/>
        <v>0.4296989951</v>
      </c>
      <c r="N112" s="591"/>
      <c r="O112" s="591">
        <f t="shared" si="251"/>
        <v>0.1749855622</v>
      </c>
      <c r="P112" s="591"/>
      <c r="Q112" s="591">
        <f t="shared" ref="Q112:R112" si="322">($B112*(Q$95-1))/($B112*(Q$95-1)+1)</f>
        <v>0.306701424</v>
      </c>
      <c r="R112" s="591">
        <f t="shared" si="322"/>
        <v>0.2192257843</v>
      </c>
      <c r="S112" s="591"/>
      <c r="T112" s="591">
        <f t="shared" ref="T112:V112" si="323">($B112*(T$95-1))/($B112*(T$95-1)+1)</f>
        <v>0.1465392165</v>
      </c>
      <c r="U112" s="591">
        <f t="shared" si="323"/>
        <v>0.2431008644</v>
      </c>
      <c r="V112" s="591">
        <f t="shared" si="323"/>
        <v>0.2003070821</v>
      </c>
    </row>
    <row r="113" ht="15.75" customHeight="1">
      <c r="A113" s="430" t="s">
        <v>504</v>
      </c>
      <c r="B113" s="600">
        <v>0.25102777777777774</v>
      </c>
      <c r="C113" s="591">
        <f t="shared" ref="C113:F113" si="324">($B113*(C$95-1))/($B113*(C$95-1)+1)</f>
        <v>0.1654927545</v>
      </c>
      <c r="D113" s="591">
        <f t="shared" si="324"/>
        <v>0.383685751</v>
      </c>
      <c r="E113" s="591">
        <f t="shared" si="324"/>
        <v>0.6434797446</v>
      </c>
      <c r="F113" s="591">
        <f t="shared" si="324"/>
        <v>0.3124124639</v>
      </c>
      <c r="G113" s="591"/>
      <c r="H113" s="591">
        <f t="shared" ref="H113:I113" si="325">($B113*(H$95-1))/($B113*(H$95-1)+1)</f>
        <v>0.1075359663</v>
      </c>
      <c r="I113" s="591">
        <f t="shared" si="325"/>
        <v>0.1530734963</v>
      </c>
      <c r="J113" s="591">
        <v>1.0</v>
      </c>
      <c r="K113" s="591">
        <f t="shared" ref="K113:M113" si="326">($B113*(K$95-1))/($B113*(K$95-1)+1)</f>
        <v>0.1941895696</v>
      </c>
      <c r="L113" s="591">
        <f t="shared" si="326"/>
        <v>0.5759226304</v>
      </c>
      <c r="M113" s="591">
        <f t="shared" si="326"/>
        <v>0.4835600672</v>
      </c>
      <c r="N113" s="591"/>
      <c r="O113" s="591">
        <f t="shared" si="251"/>
        <v>0.2085972716</v>
      </c>
      <c r="P113" s="591"/>
      <c r="Q113" s="591">
        <f t="shared" ref="Q113:R113" si="327">($B113*(Q$95-1))/($B113*(Q$95-1)+1)</f>
        <v>0.3547349816</v>
      </c>
      <c r="R113" s="591">
        <f t="shared" si="327"/>
        <v>0.2586709246</v>
      </c>
      <c r="S113" s="591"/>
      <c r="T113" s="591">
        <f t="shared" ref="T113:V113" si="328">($B113*(T$95-1))/($B113*(T$95-1)+1)</f>
        <v>0.1758515342</v>
      </c>
      <c r="U113" s="591">
        <f t="shared" si="328"/>
        <v>0.2852722606</v>
      </c>
      <c r="V113" s="591">
        <f t="shared" si="328"/>
        <v>0.2373831396</v>
      </c>
    </row>
    <row r="114" ht="15.75" customHeight="1"/>
    <row r="115" ht="15.75" customHeight="1">
      <c r="A115" s="597" t="s">
        <v>694</v>
      </c>
      <c r="B115" s="581"/>
      <c r="C115" s="582" t="s">
        <v>288</v>
      </c>
      <c r="D115" s="582" t="s">
        <v>405</v>
      </c>
      <c r="E115" s="583" t="s">
        <v>292</v>
      </c>
      <c r="F115" s="583" t="s">
        <v>294</v>
      </c>
      <c r="G115" s="582" t="s">
        <v>296</v>
      </c>
      <c r="H115" s="583" t="s">
        <v>298</v>
      </c>
      <c r="I115" s="582" t="s">
        <v>300</v>
      </c>
      <c r="J115" s="583" t="s">
        <v>89</v>
      </c>
      <c r="K115" s="582" t="s">
        <v>303</v>
      </c>
      <c r="L115" s="583" t="s">
        <v>305</v>
      </c>
      <c r="M115" s="582" t="s">
        <v>307</v>
      </c>
      <c r="N115" s="583" t="s">
        <v>406</v>
      </c>
      <c r="O115" s="582" t="s">
        <v>311</v>
      </c>
      <c r="P115" s="583" t="s">
        <v>313</v>
      </c>
      <c r="Q115" s="582" t="s">
        <v>315</v>
      </c>
      <c r="R115" s="583" t="s">
        <v>407</v>
      </c>
      <c r="S115" s="582" t="s">
        <v>319</v>
      </c>
      <c r="T115" s="583" t="s">
        <v>321</v>
      </c>
      <c r="U115" s="582" t="s">
        <v>323</v>
      </c>
      <c r="V115" s="584" t="s">
        <v>408</v>
      </c>
    </row>
    <row r="116" ht="15.75" customHeight="1">
      <c r="A116" s="585"/>
      <c r="B116" s="35" t="s">
        <v>677</v>
      </c>
      <c r="C116" s="557">
        <v>2.32</v>
      </c>
      <c r="D116" s="557">
        <v>3.48</v>
      </c>
      <c r="E116" s="557">
        <v>17.06</v>
      </c>
      <c r="F116" s="557">
        <v>3.43</v>
      </c>
      <c r="G116" s="557">
        <v>1.6</v>
      </c>
      <c r="H116" s="37" t="s">
        <v>70</v>
      </c>
      <c r="I116" s="557">
        <v>1.74</v>
      </c>
      <c r="J116" s="149">
        <v>1.0</v>
      </c>
      <c r="K116" s="557">
        <v>4.57</v>
      </c>
      <c r="L116" s="557">
        <v>2.04</v>
      </c>
      <c r="M116" s="557">
        <v>4.73</v>
      </c>
      <c r="N116" s="557">
        <v>3.56</v>
      </c>
      <c r="O116" s="557">
        <v>2.9</v>
      </c>
      <c r="P116" s="557">
        <v>1.22</v>
      </c>
      <c r="Q116" s="557">
        <v>2.2</v>
      </c>
      <c r="R116" s="557">
        <v>1.81</v>
      </c>
      <c r="S116" s="557">
        <v>1.36</v>
      </c>
      <c r="T116" s="557">
        <v>2.5</v>
      </c>
      <c r="U116" s="557">
        <v>2.95</v>
      </c>
      <c r="V116" s="557">
        <v>3.67</v>
      </c>
    </row>
    <row r="117" ht="15.75" customHeight="1">
      <c r="A117" s="586"/>
      <c r="B117" s="41" t="s">
        <v>678</v>
      </c>
      <c r="C117" s="573">
        <v>39.0</v>
      </c>
      <c r="D117" s="279">
        <v>43.0</v>
      </c>
      <c r="E117" s="279" t="s">
        <v>679</v>
      </c>
      <c r="F117" s="279">
        <v>34.0</v>
      </c>
      <c r="G117" s="279">
        <v>10.0</v>
      </c>
      <c r="H117" s="279" t="s">
        <v>680</v>
      </c>
      <c r="I117" s="279" t="s">
        <v>681</v>
      </c>
      <c r="J117" s="279" t="s">
        <v>682</v>
      </c>
      <c r="K117" s="279" t="s">
        <v>683</v>
      </c>
      <c r="L117" s="279">
        <v>42.0</v>
      </c>
      <c r="M117" s="279">
        <v>35.0</v>
      </c>
      <c r="N117" s="279" t="s">
        <v>684</v>
      </c>
      <c r="O117" s="279" t="s">
        <v>685</v>
      </c>
      <c r="P117" s="279" t="s">
        <v>686</v>
      </c>
      <c r="Q117" s="279" t="s">
        <v>687</v>
      </c>
      <c r="R117" s="587">
        <v>43480.0</v>
      </c>
      <c r="S117" s="588">
        <v>45158.0</v>
      </c>
      <c r="T117" s="279" t="s">
        <v>688</v>
      </c>
      <c r="U117" s="279">
        <v>36.0</v>
      </c>
      <c r="V117" s="280">
        <v>33.0</v>
      </c>
    </row>
    <row r="118" ht="15.75" customHeight="1">
      <c r="A118" s="589" t="s">
        <v>573</v>
      </c>
      <c r="B118" s="590">
        <v>0.03</v>
      </c>
      <c r="C118" s="591">
        <f t="shared" ref="C118:G118" si="329">($B118*(C$116-1))/($B118*(C$116-1)+1)</f>
        <v>0.03809157368</v>
      </c>
      <c r="D118" s="591">
        <f t="shared" si="329"/>
        <v>0.06924795235</v>
      </c>
      <c r="E118" s="591">
        <f t="shared" si="329"/>
        <v>0.3251450938</v>
      </c>
      <c r="F118" s="591">
        <f t="shared" si="329"/>
        <v>0.06794668655</v>
      </c>
      <c r="G118" s="591">
        <f t="shared" si="329"/>
        <v>0.01768172888</v>
      </c>
      <c r="H118" s="591"/>
      <c r="I118" s="591">
        <f t="shared" ref="I118:I134" si="332">($B118*(I$116-1))/($B118*(I$116-1)+1)</f>
        <v>0.02171786343</v>
      </c>
      <c r="J118" s="591">
        <v>1.0</v>
      </c>
      <c r="K118" s="591">
        <f t="shared" ref="K118:V118" si="330">($B118*(K$116-1))/($B118*(K$116-1)+1)</f>
        <v>0.09673922862</v>
      </c>
      <c r="L118" s="591">
        <f t="shared" si="330"/>
        <v>0.03025601241</v>
      </c>
      <c r="M118" s="591">
        <f t="shared" si="330"/>
        <v>0.1006385466</v>
      </c>
      <c r="N118" s="591">
        <f t="shared" si="330"/>
        <v>0.07132243685</v>
      </c>
      <c r="O118" s="591">
        <f t="shared" si="330"/>
        <v>0.05392620624</v>
      </c>
      <c r="P118" s="591">
        <f t="shared" si="330"/>
        <v>0.006556725611</v>
      </c>
      <c r="Q118" s="591">
        <f t="shared" si="330"/>
        <v>0.03474903475</v>
      </c>
      <c r="R118" s="591">
        <f t="shared" si="330"/>
        <v>0.0237235185</v>
      </c>
      <c r="S118" s="591">
        <f t="shared" si="330"/>
        <v>0.01068460625</v>
      </c>
      <c r="T118" s="591">
        <f t="shared" si="330"/>
        <v>0.04306220096</v>
      </c>
      <c r="U118" s="591">
        <f t="shared" si="330"/>
        <v>0.0552668871</v>
      </c>
      <c r="V118" s="591">
        <f t="shared" si="330"/>
        <v>0.07415980002</v>
      </c>
    </row>
    <row r="119" ht="15.75" customHeight="1">
      <c r="A119" s="589" t="s">
        <v>574</v>
      </c>
      <c r="B119" s="590">
        <v>0.075</v>
      </c>
      <c r="C119" s="591">
        <f t="shared" ref="C119:G119" si="331">($B119*(C$116-1))/($B119*(C$116-1)+1)</f>
        <v>0.09008189263</v>
      </c>
      <c r="D119" s="591">
        <f t="shared" si="331"/>
        <v>0.1568296796</v>
      </c>
      <c r="E119" s="591">
        <f t="shared" si="331"/>
        <v>0.5463823996</v>
      </c>
      <c r="F119" s="591">
        <f t="shared" si="331"/>
        <v>0.1541552125</v>
      </c>
      <c r="G119" s="591">
        <f t="shared" si="331"/>
        <v>0.04306220096</v>
      </c>
      <c r="H119" s="591"/>
      <c r="I119" s="591">
        <f t="shared" si="332"/>
        <v>0.05258171483</v>
      </c>
      <c r="J119" s="591">
        <v>1.0</v>
      </c>
      <c r="K119" s="591">
        <f t="shared" ref="K119:V119" si="333">($B119*(K$116-1))/($B119*(K$116-1)+1)</f>
        <v>0.2112009466</v>
      </c>
      <c r="L119" s="591">
        <f t="shared" si="333"/>
        <v>0.07235621521</v>
      </c>
      <c r="M119" s="591">
        <f t="shared" si="333"/>
        <v>0.2185973823</v>
      </c>
      <c r="N119" s="591">
        <f t="shared" si="333"/>
        <v>0.1610738255</v>
      </c>
      <c r="O119" s="591">
        <f t="shared" si="333"/>
        <v>0.124726477</v>
      </c>
      <c r="P119" s="591">
        <f t="shared" si="333"/>
        <v>0.01623216921</v>
      </c>
      <c r="Q119" s="591">
        <f t="shared" si="333"/>
        <v>0.08256880734</v>
      </c>
      <c r="R119" s="591">
        <f t="shared" si="333"/>
        <v>0.05727079896</v>
      </c>
      <c r="S119" s="591">
        <f t="shared" si="333"/>
        <v>0.02629016553</v>
      </c>
      <c r="T119" s="591">
        <f t="shared" si="333"/>
        <v>0.1011235955</v>
      </c>
      <c r="U119" s="591">
        <f t="shared" si="333"/>
        <v>0.1275899673</v>
      </c>
      <c r="V119" s="591">
        <f t="shared" si="333"/>
        <v>0.1668402416</v>
      </c>
    </row>
    <row r="120" ht="15.75" customHeight="1">
      <c r="A120" s="589" t="s">
        <v>575</v>
      </c>
      <c r="B120" s="590">
        <v>0.0665</v>
      </c>
      <c r="C120" s="591">
        <f t="shared" ref="C120:G120" si="334">($B120*(C$116-1))/($B120*(C$116-1)+1)</f>
        <v>0.08069646436</v>
      </c>
      <c r="D120" s="591">
        <f t="shared" si="334"/>
        <v>0.1415719534</v>
      </c>
      <c r="E120" s="591">
        <f t="shared" si="334"/>
        <v>0.5164386675</v>
      </c>
      <c r="F120" s="591">
        <f t="shared" si="334"/>
        <v>0.1391147517</v>
      </c>
      <c r="G120" s="591">
        <f t="shared" si="334"/>
        <v>0.03836907395</v>
      </c>
      <c r="H120" s="591"/>
      <c r="I120" s="591">
        <f t="shared" si="332"/>
        <v>0.0469019548</v>
      </c>
      <c r="J120" s="591">
        <v>1.0</v>
      </c>
      <c r="K120" s="591">
        <f t="shared" ref="K120:V120" si="335">($B120*(K$116-1))/($B120*(K$116-1)+1)</f>
        <v>0.1918571527</v>
      </c>
      <c r="L120" s="591">
        <f t="shared" si="335"/>
        <v>0.06468629578</v>
      </c>
      <c r="M120" s="591">
        <f t="shared" si="335"/>
        <v>0.1987468401</v>
      </c>
      <c r="N120" s="591">
        <f t="shared" si="335"/>
        <v>0.1454744326</v>
      </c>
      <c r="O120" s="591">
        <f t="shared" si="335"/>
        <v>0.1121764993</v>
      </c>
      <c r="P120" s="591">
        <f t="shared" si="335"/>
        <v>0.01441904931</v>
      </c>
      <c r="Q120" s="591">
        <f t="shared" si="335"/>
        <v>0.07390257455</v>
      </c>
      <c r="R120" s="591">
        <f t="shared" si="335"/>
        <v>0.05111185968</v>
      </c>
      <c r="S120" s="591">
        <f t="shared" si="335"/>
        <v>0.02338027619</v>
      </c>
      <c r="T120" s="591">
        <f t="shared" si="335"/>
        <v>0.09070243237</v>
      </c>
      <c r="U120" s="591">
        <f t="shared" si="335"/>
        <v>0.1147896519</v>
      </c>
      <c r="V120" s="591">
        <f t="shared" si="335"/>
        <v>0.150782766</v>
      </c>
    </row>
    <row r="121" ht="15.75" customHeight="1">
      <c r="A121" s="589" t="s">
        <v>417</v>
      </c>
      <c r="B121" s="590">
        <v>0.027999999999999997</v>
      </c>
      <c r="C121" s="591">
        <f t="shared" ref="C121:G121" si="336">($B121*(C$116-1))/($B121*(C$116-1)+1)</f>
        <v>0.03564264774</v>
      </c>
      <c r="D121" s="591">
        <f t="shared" si="336"/>
        <v>0.06493117893</v>
      </c>
      <c r="E121" s="591">
        <f t="shared" si="336"/>
        <v>0.3101925942</v>
      </c>
      <c r="F121" s="591">
        <f t="shared" si="336"/>
        <v>0.0637054792</v>
      </c>
      <c r="G121" s="591">
        <f t="shared" si="336"/>
        <v>0.01652242329</v>
      </c>
      <c r="H121" s="591"/>
      <c r="I121" s="591">
        <f t="shared" si="332"/>
        <v>0.0202993965</v>
      </c>
      <c r="J121" s="591">
        <v>1.0</v>
      </c>
      <c r="K121" s="591">
        <f t="shared" ref="K121:V121" si="337">($B121*(K$116-1))/($B121*(K$116-1)+1)</f>
        <v>0.09087603186</v>
      </c>
      <c r="L121" s="591">
        <f t="shared" si="337"/>
        <v>0.0282960199</v>
      </c>
      <c r="M121" s="591">
        <f t="shared" si="337"/>
        <v>0.09456376082</v>
      </c>
      <c r="N121" s="591">
        <f t="shared" si="337"/>
        <v>0.0668856375</v>
      </c>
      <c r="O121" s="591">
        <f t="shared" si="337"/>
        <v>0.05051272313</v>
      </c>
      <c r="P121" s="591">
        <f t="shared" si="337"/>
        <v>0.006122286714</v>
      </c>
      <c r="Q121" s="591">
        <f t="shared" si="337"/>
        <v>0.03250773994</v>
      </c>
      <c r="R121" s="591">
        <f t="shared" si="337"/>
        <v>0.02217702507</v>
      </c>
      <c r="S121" s="591">
        <f t="shared" si="337"/>
        <v>0.009979407572</v>
      </c>
      <c r="T121" s="591">
        <f t="shared" si="337"/>
        <v>0.04030710173</v>
      </c>
      <c r="U121" s="591">
        <f t="shared" si="337"/>
        <v>0.05177318415</v>
      </c>
      <c r="V121" s="591">
        <f t="shared" si="337"/>
        <v>0.06955971566</v>
      </c>
    </row>
    <row r="122" ht="15.75" customHeight="1">
      <c r="A122" s="589" t="s">
        <v>689</v>
      </c>
      <c r="B122" s="590">
        <v>0.05566666666666666</v>
      </c>
      <c r="C122" s="591">
        <f t="shared" ref="C122:G122" si="338">($B122*(C$116-1))/($B122*(C$116-1)+1)</f>
        <v>0.06845027388</v>
      </c>
      <c r="D122" s="591">
        <f t="shared" si="338"/>
        <v>0.1213065586</v>
      </c>
      <c r="E122" s="591">
        <f t="shared" si="338"/>
        <v>0.4720187539</v>
      </c>
      <c r="F122" s="591">
        <f t="shared" si="338"/>
        <v>0.1191522721</v>
      </c>
      <c r="G122" s="591">
        <f t="shared" si="338"/>
        <v>0.03232049545</v>
      </c>
      <c r="H122" s="591"/>
      <c r="I122" s="591">
        <f t="shared" si="332"/>
        <v>0.03956357769</v>
      </c>
      <c r="J122" s="591">
        <v>1.0</v>
      </c>
      <c r="K122" s="591">
        <f t="shared" ref="K122:V122" si="339">($B122*(K$116-1))/($B122*(K$116-1)+1)</f>
        <v>0.1657837878</v>
      </c>
      <c r="L122" s="591">
        <f t="shared" si="339"/>
        <v>0.05472511406</v>
      </c>
      <c r="M122" s="591">
        <f t="shared" si="339"/>
        <v>0.1719363716</v>
      </c>
      <c r="N122" s="591">
        <f t="shared" si="339"/>
        <v>0.1247315844</v>
      </c>
      <c r="O122" s="591">
        <f t="shared" si="339"/>
        <v>0.09565007687</v>
      </c>
      <c r="P122" s="591">
        <f t="shared" si="339"/>
        <v>0.01209850037</v>
      </c>
      <c r="Q122" s="591">
        <f t="shared" si="339"/>
        <v>0.06261717285</v>
      </c>
      <c r="R122" s="591">
        <f t="shared" si="339"/>
        <v>0.04314460956</v>
      </c>
      <c r="S122" s="591">
        <f t="shared" si="339"/>
        <v>0.01964628838</v>
      </c>
      <c r="T122" s="591">
        <f t="shared" si="339"/>
        <v>0.07706506691</v>
      </c>
      <c r="U122" s="591">
        <f t="shared" si="339"/>
        <v>0.09792070723</v>
      </c>
      <c r="V122" s="591">
        <f t="shared" si="339"/>
        <v>0.1293976302</v>
      </c>
    </row>
    <row r="123" ht="15.75" customHeight="1">
      <c r="A123" s="589" t="s">
        <v>391</v>
      </c>
      <c r="B123" s="590">
        <v>0.08341785016894653</v>
      </c>
      <c r="C123" s="591">
        <f t="shared" ref="C123:G123" si="340">($B123*(C$116-1))/($B123*(C$116-1)+1)</f>
        <v>0.0991896364</v>
      </c>
      <c r="D123" s="591">
        <f t="shared" si="340"/>
        <v>0.1714146461</v>
      </c>
      <c r="E123" s="591">
        <f t="shared" si="340"/>
        <v>0.5725930734</v>
      </c>
      <c r="F123" s="591">
        <f t="shared" si="340"/>
        <v>0.1685411739</v>
      </c>
      <c r="G123" s="591">
        <f t="shared" si="340"/>
        <v>0.04766504095</v>
      </c>
      <c r="H123" s="591"/>
      <c r="I123" s="591">
        <f t="shared" si="332"/>
        <v>0.05814025704</v>
      </c>
      <c r="J123" s="591">
        <v>1.0</v>
      </c>
      <c r="K123" s="591">
        <f t="shared" ref="K123:V123" si="341">($B123*(K$116-1))/($B123*(K$116-1)+1)</f>
        <v>0.2294662731</v>
      </c>
      <c r="L123" s="591">
        <f t="shared" si="341"/>
        <v>0.07982903135</v>
      </c>
      <c r="M123" s="591">
        <f t="shared" si="341"/>
        <v>0.2373099324</v>
      </c>
      <c r="N123" s="591">
        <f t="shared" si="341"/>
        <v>0.1759711177</v>
      </c>
      <c r="O123" s="591">
        <f t="shared" si="341"/>
        <v>0.1368103131</v>
      </c>
      <c r="P123" s="591">
        <f t="shared" si="341"/>
        <v>0.01802120323</v>
      </c>
      <c r="Q123" s="591">
        <f t="shared" si="341"/>
        <v>0.09099290153</v>
      </c>
      <c r="R123" s="591">
        <f t="shared" si="341"/>
        <v>0.06329192108</v>
      </c>
      <c r="S123" s="591">
        <f t="shared" si="341"/>
        <v>0.02915489223</v>
      </c>
      <c r="T123" s="591">
        <f t="shared" si="341"/>
        <v>0.1112112679</v>
      </c>
      <c r="U123" s="591">
        <f t="shared" si="341"/>
        <v>0.1399068818</v>
      </c>
      <c r="V123" s="591">
        <f t="shared" si="341"/>
        <v>0.1821550551</v>
      </c>
    </row>
    <row r="124" ht="15.75" customHeight="1">
      <c r="A124" s="589" t="s">
        <v>392</v>
      </c>
      <c r="B124" s="590">
        <v>0.12541785016894655</v>
      </c>
      <c r="C124" s="591">
        <f t="shared" ref="C124:G124" si="342">($B124*(C$116-1))/($B124*(C$116-1)+1)</f>
        <v>0.1420370986</v>
      </c>
      <c r="D124" s="591">
        <f t="shared" si="342"/>
        <v>0.2372445949</v>
      </c>
      <c r="E124" s="591">
        <f t="shared" si="342"/>
        <v>0.6682381863</v>
      </c>
      <c r="F124" s="591">
        <f t="shared" si="342"/>
        <v>0.2335786813</v>
      </c>
      <c r="G124" s="591">
        <f t="shared" si="342"/>
        <v>0.0699843389</v>
      </c>
      <c r="H124" s="591"/>
      <c r="I124" s="591">
        <f t="shared" si="332"/>
        <v>0.08492718432</v>
      </c>
      <c r="J124" s="591">
        <v>1.0</v>
      </c>
      <c r="K124" s="591">
        <f t="shared" ref="K124:V124" si="343">($B124*(K$116-1))/($B124*(K$116-1)+1)</f>
        <v>0.3092690618</v>
      </c>
      <c r="L124" s="591">
        <f t="shared" si="343"/>
        <v>0.1153844445</v>
      </c>
      <c r="M124" s="591">
        <f t="shared" si="343"/>
        <v>0.3187122539</v>
      </c>
      <c r="N124" s="591">
        <f t="shared" si="343"/>
        <v>0.2430376666</v>
      </c>
      <c r="O124" s="591">
        <f t="shared" si="343"/>
        <v>0.192437282</v>
      </c>
      <c r="P124" s="591">
        <f t="shared" si="343"/>
        <v>0.0268510547</v>
      </c>
      <c r="Q124" s="591">
        <f t="shared" si="343"/>
        <v>0.1308137631</v>
      </c>
      <c r="R124" s="591">
        <f t="shared" si="343"/>
        <v>0.09221997366</v>
      </c>
      <c r="S124" s="591">
        <f t="shared" si="343"/>
        <v>0.04319993078</v>
      </c>
      <c r="T124" s="591">
        <f t="shared" si="343"/>
        <v>0.1583389746</v>
      </c>
      <c r="U124" s="591">
        <f t="shared" si="343"/>
        <v>0.1965062858</v>
      </c>
      <c r="V124" s="591">
        <f t="shared" si="343"/>
        <v>0.2508609443</v>
      </c>
    </row>
    <row r="125" ht="15.75" customHeight="1">
      <c r="A125" s="589" t="s">
        <v>393</v>
      </c>
      <c r="B125" s="590">
        <v>0.2016666666666667</v>
      </c>
      <c r="C125" s="591">
        <f t="shared" ref="C125:G125" si="344">($B125*(C$116-1))/($B125*(C$116-1)+1)</f>
        <v>0.2102353499</v>
      </c>
      <c r="D125" s="591">
        <f t="shared" si="344"/>
        <v>0.3333925873</v>
      </c>
      <c r="E125" s="591">
        <f t="shared" si="344"/>
        <v>0.7640823195</v>
      </c>
      <c r="F125" s="591">
        <f t="shared" si="344"/>
        <v>0.3288815812</v>
      </c>
      <c r="G125" s="591">
        <f t="shared" si="344"/>
        <v>0.1079393399</v>
      </c>
      <c r="H125" s="591"/>
      <c r="I125" s="591">
        <f t="shared" si="332"/>
        <v>0.1298546857</v>
      </c>
      <c r="J125" s="591">
        <v>1.0</v>
      </c>
      <c r="K125" s="591">
        <f t="shared" ref="K125:V125" si="345">($B125*(K$116-1))/($B125*(K$116-1)+1)</f>
        <v>0.4185877496</v>
      </c>
      <c r="L125" s="591">
        <f t="shared" si="345"/>
        <v>0.1733715419</v>
      </c>
      <c r="M125" s="591">
        <f t="shared" si="345"/>
        <v>0.4292943224</v>
      </c>
      <c r="N125" s="591">
        <f t="shared" si="345"/>
        <v>0.3404854027</v>
      </c>
      <c r="O125" s="591">
        <f t="shared" si="345"/>
        <v>0.2770213279</v>
      </c>
      <c r="P125" s="591">
        <f t="shared" si="345"/>
        <v>0.04248188695</v>
      </c>
      <c r="Q125" s="591">
        <f t="shared" si="345"/>
        <v>0.1948470209</v>
      </c>
      <c r="R125" s="591">
        <f t="shared" si="345"/>
        <v>0.1404134611</v>
      </c>
      <c r="S125" s="591">
        <f t="shared" si="345"/>
        <v>0.06768599664</v>
      </c>
      <c r="T125" s="591">
        <f t="shared" si="345"/>
        <v>0.2322456814</v>
      </c>
      <c r="U125" s="591">
        <f t="shared" si="345"/>
        <v>0.2822537233</v>
      </c>
      <c r="V125" s="591">
        <f t="shared" si="345"/>
        <v>0.349995125</v>
      </c>
    </row>
    <row r="126" ht="15.75" customHeight="1">
      <c r="A126" s="421" t="s">
        <v>394</v>
      </c>
      <c r="B126" s="590">
        <v>0.21833333333333335</v>
      </c>
      <c r="C126" s="591">
        <f t="shared" ref="C126:G126" si="346">($B126*(C$116-1))/($B126*(C$116-1)+1)</f>
        <v>0.2237230244</v>
      </c>
      <c r="D126" s="591">
        <f t="shared" si="346"/>
        <v>0.3512671914</v>
      </c>
      <c r="E126" s="591">
        <f t="shared" si="346"/>
        <v>0.7780950197</v>
      </c>
      <c r="F126" s="591">
        <f t="shared" si="346"/>
        <v>0.3466400967</v>
      </c>
      <c r="G126" s="591">
        <f t="shared" si="346"/>
        <v>0.115826702</v>
      </c>
      <c r="H126" s="591"/>
      <c r="I126" s="591">
        <f t="shared" si="332"/>
        <v>0.1390937527</v>
      </c>
      <c r="J126" s="591">
        <v>1.0</v>
      </c>
      <c r="K126" s="591">
        <f t="shared" ref="K126:V126" si="347">($B126*(K$116-1))/($B126*(K$116-1)+1)</f>
        <v>0.4380286043</v>
      </c>
      <c r="L126" s="591">
        <f t="shared" si="347"/>
        <v>0.1850483538</v>
      </c>
      <c r="M126" s="591">
        <f t="shared" si="347"/>
        <v>0.4488485528</v>
      </c>
      <c r="N126" s="591">
        <f t="shared" si="347"/>
        <v>0.3585357509</v>
      </c>
      <c r="O126" s="591">
        <f t="shared" si="347"/>
        <v>0.2932029685</v>
      </c>
      <c r="P126" s="591">
        <f t="shared" si="347"/>
        <v>0.04583187558</v>
      </c>
      <c r="Q126" s="591">
        <f t="shared" si="347"/>
        <v>0.2076069731</v>
      </c>
      <c r="R126" s="591">
        <f t="shared" si="347"/>
        <v>0.1502740366</v>
      </c>
      <c r="S126" s="591">
        <f t="shared" si="347"/>
        <v>0.07287224179</v>
      </c>
      <c r="T126" s="591">
        <f t="shared" si="347"/>
        <v>0.2467043315</v>
      </c>
      <c r="U126" s="591">
        <f t="shared" si="347"/>
        <v>0.2986147642</v>
      </c>
      <c r="V126" s="591">
        <f t="shared" si="347"/>
        <v>0.368268107</v>
      </c>
    </row>
    <row r="127" ht="15.75" customHeight="1">
      <c r="A127" s="421" t="s">
        <v>395</v>
      </c>
      <c r="B127" s="590">
        <v>0.23116666666666666</v>
      </c>
      <c r="C127" s="591">
        <f t="shared" ref="C127:G127" si="348">($B127*(C$116-1))/($B127*(C$116-1)+1)</f>
        <v>0.2337986729</v>
      </c>
      <c r="D127" s="591">
        <f t="shared" si="348"/>
        <v>0.3643906201</v>
      </c>
      <c r="E127" s="591">
        <f t="shared" si="348"/>
        <v>0.7878000596</v>
      </c>
      <c r="F127" s="591">
        <f t="shared" si="348"/>
        <v>0.3596865025</v>
      </c>
      <c r="G127" s="591">
        <f t="shared" si="348"/>
        <v>0.1218055678</v>
      </c>
      <c r="H127" s="591"/>
      <c r="I127" s="591">
        <f t="shared" si="332"/>
        <v>0.1460752194</v>
      </c>
      <c r="J127" s="591">
        <v>1.0</v>
      </c>
      <c r="K127" s="591">
        <f t="shared" ref="K127:V127" si="349">($B127*(K$116-1))/($B127*(K$116-1)+1)</f>
        <v>0.4521343476</v>
      </c>
      <c r="L127" s="591">
        <f t="shared" si="349"/>
        <v>0.1938171147</v>
      </c>
      <c r="M127" s="591">
        <f t="shared" si="349"/>
        <v>0.4630156504</v>
      </c>
      <c r="N127" s="591">
        <f t="shared" si="349"/>
        <v>0.3717751122</v>
      </c>
      <c r="O127" s="591">
        <f t="shared" si="349"/>
        <v>0.305177585</v>
      </c>
      <c r="P127" s="591">
        <f t="shared" si="349"/>
        <v>0.0483954361</v>
      </c>
      <c r="Q127" s="591">
        <f t="shared" si="349"/>
        <v>0.217159856</v>
      </c>
      <c r="R127" s="591">
        <f t="shared" si="349"/>
        <v>0.157713867</v>
      </c>
      <c r="S127" s="591">
        <f t="shared" si="349"/>
        <v>0.07682649877</v>
      </c>
      <c r="T127" s="591">
        <f t="shared" si="349"/>
        <v>0.2574716911</v>
      </c>
      <c r="U127" s="591">
        <f t="shared" si="349"/>
        <v>0.3107132395</v>
      </c>
      <c r="V127" s="591">
        <f t="shared" si="349"/>
        <v>0.381653027</v>
      </c>
    </row>
    <row r="128" ht="15.75" customHeight="1">
      <c r="A128" s="421" t="s">
        <v>396</v>
      </c>
      <c r="B128" s="590">
        <v>0.2665</v>
      </c>
      <c r="C128" s="591">
        <f t="shared" ref="C128:G128" si="350">($B128*(C$116-1))/($B128*(C$116-1)+1)</f>
        <v>0.2602346536</v>
      </c>
      <c r="D128" s="591">
        <f t="shared" si="350"/>
        <v>0.3979240421</v>
      </c>
      <c r="E128" s="591">
        <f t="shared" si="350"/>
        <v>0.8106057019</v>
      </c>
      <c r="F128" s="591">
        <f t="shared" si="350"/>
        <v>0.3930547252</v>
      </c>
      <c r="G128" s="591">
        <f t="shared" si="350"/>
        <v>0.1378567118</v>
      </c>
      <c r="H128" s="591"/>
      <c r="I128" s="591">
        <f t="shared" si="332"/>
        <v>0.1647246515</v>
      </c>
      <c r="J128" s="591">
        <v>1.0</v>
      </c>
      <c r="K128" s="591">
        <f t="shared" ref="K128:V128" si="351">($B128*(K$116-1))/($B128*(K$116-1)+1)</f>
        <v>0.4875487149</v>
      </c>
      <c r="L128" s="591">
        <f t="shared" si="351"/>
        <v>0.217012747</v>
      </c>
      <c r="M128" s="591">
        <f t="shared" si="351"/>
        <v>0.498506804</v>
      </c>
      <c r="N128" s="591">
        <f t="shared" si="351"/>
        <v>0.4055544988</v>
      </c>
      <c r="O128" s="591">
        <f t="shared" si="351"/>
        <v>0.3361436585</v>
      </c>
      <c r="P128" s="591">
        <f t="shared" si="351"/>
        <v>0.05538290054</v>
      </c>
      <c r="Q128" s="591">
        <f t="shared" si="351"/>
        <v>0.2423094408</v>
      </c>
      <c r="R128" s="591">
        <f t="shared" si="351"/>
        <v>0.1775402697</v>
      </c>
      <c r="S128" s="591">
        <f t="shared" si="351"/>
        <v>0.08754128876</v>
      </c>
      <c r="T128" s="591">
        <f t="shared" si="351"/>
        <v>0.2855867119</v>
      </c>
      <c r="U128" s="591">
        <f t="shared" si="351"/>
        <v>0.3419645648</v>
      </c>
      <c r="V128" s="591">
        <f t="shared" si="351"/>
        <v>0.4157359828</v>
      </c>
    </row>
    <row r="129" ht="15.75" customHeight="1">
      <c r="A129" s="421" t="s">
        <v>397</v>
      </c>
      <c r="B129" s="590">
        <v>0.308</v>
      </c>
      <c r="C129" s="591">
        <f t="shared" ref="C129:G129" si="352">($B129*(C$116-1))/($B129*(C$116-1)+1)</f>
        <v>0.2890456148</v>
      </c>
      <c r="D129" s="591">
        <f t="shared" si="352"/>
        <v>0.4330551524</v>
      </c>
      <c r="E129" s="591">
        <f t="shared" si="352"/>
        <v>0.8318332862</v>
      </c>
      <c r="F129" s="591">
        <f t="shared" si="352"/>
        <v>0.4280615863</v>
      </c>
      <c r="G129" s="591">
        <f t="shared" si="352"/>
        <v>0.1559756921</v>
      </c>
      <c r="H129" s="591"/>
      <c r="I129" s="591">
        <f t="shared" si="332"/>
        <v>0.185614698</v>
      </c>
      <c r="J129" s="591">
        <v>1.0</v>
      </c>
      <c r="K129" s="591">
        <f t="shared" ref="K129:V129" si="353">($B129*(K$116-1))/($B129*(K$116-1)+1)</f>
        <v>0.5237097297</v>
      </c>
      <c r="L129" s="591">
        <f t="shared" si="353"/>
        <v>0.2426078526</v>
      </c>
      <c r="M129" s="591">
        <f t="shared" si="353"/>
        <v>0.534632639</v>
      </c>
      <c r="N129" s="591">
        <f t="shared" si="353"/>
        <v>0.4408659868</v>
      </c>
      <c r="O129" s="591">
        <f t="shared" si="353"/>
        <v>0.3691647742</v>
      </c>
      <c r="P129" s="591">
        <f t="shared" si="353"/>
        <v>0.06345995355</v>
      </c>
      <c r="Q129" s="591">
        <f t="shared" si="353"/>
        <v>0.2698598131</v>
      </c>
      <c r="R129" s="591">
        <f t="shared" si="353"/>
        <v>0.1996670615</v>
      </c>
      <c r="S129" s="591">
        <f t="shared" si="353"/>
        <v>0.09981276105</v>
      </c>
      <c r="T129" s="591">
        <f t="shared" si="353"/>
        <v>0.316005472</v>
      </c>
      <c r="U129" s="591">
        <f t="shared" si="353"/>
        <v>0.3752342871</v>
      </c>
      <c r="V129" s="591">
        <f t="shared" si="353"/>
        <v>0.4512610022</v>
      </c>
    </row>
    <row r="130" ht="15.75" customHeight="1">
      <c r="A130" s="421" t="s">
        <v>398</v>
      </c>
      <c r="B130" s="590">
        <v>0.308</v>
      </c>
      <c r="C130" s="591">
        <f t="shared" ref="C130:G130" si="354">($B130*(C$116-1))/($B130*(C$116-1)+1)</f>
        <v>0.2890456148</v>
      </c>
      <c r="D130" s="591">
        <f t="shared" si="354"/>
        <v>0.4330551524</v>
      </c>
      <c r="E130" s="591">
        <f t="shared" si="354"/>
        <v>0.8318332862</v>
      </c>
      <c r="F130" s="591">
        <f t="shared" si="354"/>
        <v>0.4280615863</v>
      </c>
      <c r="G130" s="591">
        <f t="shared" si="354"/>
        <v>0.1559756921</v>
      </c>
      <c r="H130" s="591"/>
      <c r="I130" s="591">
        <f t="shared" si="332"/>
        <v>0.185614698</v>
      </c>
      <c r="J130" s="591">
        <v>1.0</v>
      </c>
      <c r="K130" s="591">
        <f t="shared" ref="K130:V130" si="355">($B130*(K$116-1))/($B130*(K$116-1)+1)</f>
        <v>0.5237097297</v>
      </c>
      <c r="L130" s="591">
        <f t="shared" si="355"/>
        <v>0.2426078526</v>
      </c>
      <c r="M130" s="591">
        <f t="shared" si="355"/>
        <v>0.534632639</v>
      </c>
      <c r="N130" s="591">
        <f t="shared" si="355"/>
        <v>0.4408659868</v>
      </c>
      <c r="O130" s="591">
        <f t="shared" si="355"/>
        <v>0.3691647742</v>
      </c>
      <c r="P130" s="591">
        <f t="shared" si="355"/>
        <v>0.06345995355</v>
      </c>
      <c r="Q130" s="591">
        <f t="shared" si="355"/>
        <v>0.2698598131</v>
      </c>
      <c r="R130" s="591">
        <f t="shared" si="355"/>
        <v>0.1996670615</v>
      </c>
      <c r="S130" s="591">
        <f t="shared" si="355"/>
        <v>0.09981276105</v>
      </c>
      <c r="T130" s="591">
        <f t="shared" si="355"/>
        <v>0.316005472</v>
      </c>
      <c r="U130" s="591">
        <f t="shared" si="355"/>
        <v>0.3752342871</v>
      </c>
      <c r="V130" s="591">
        <f t="shared" si="355"/>
        <v>0.4512610022</v>
      </c>
    </row>
    <row r="131" ht="15.75" customHeight="1">
      <c r="A131" s="421" t="s">
        <v>502</v>
      </c>
      <c r="B131" s="590">
        <v>0.268</v>
      </c>
      <c r="C131" s="591">
        <f t="shared" ref="C131:G131" si="356">($B131*(C$116-1))/($B131*(C$116-1)+1)</f>
        <v>0.2613166292</v>
      </c>
      <c r="D131" s="591">
        <f t="shared" si="356"/>
        <v>0.3992695117</v>
      </c>
      <c r="E131" s="591">
        <f t="shared" si="356"/>
        <v>0.8114658904</v>
      </c>
      <c r="F131" s="591">
        <f t="shared" si="356"/>
        <v>0.3943945156</v>
      </c>
      <c r="G131" s="591">
        <f t="shared" si="356"/>
        <v>0.1385251551</v>
      </c>
      <c r="H131" s="591"/>
      <c r="I131" s="591">
        <f t="shared" si="332"/>
        <v>0.1654983644</v>
      </c>
      <c r="J131" s="591">
        <v>1.0</v>
      </c>
      <c r="K131" s="591">
        <f t="shared" ref="K131:V131" si="357">($B131*(K$116-1))/($B131*(K$116-1)+1)</f>
        <v>0.4889511233</v>
      </c>
      <c r="L131" s="591">
        <f t="shared" si="357"/>
        <v>0.217967968</v>
      </c>
      <c r="M131" s="591">
        <f t="shared" si="357"/>
        <v>0.4999099838</v>
      </c>
      <c r="N131" s="591">
        <f t="shared" si="357"/>
        <v>0.4069083318</v>
      </c>
      <c r="O131" s="591">
        <f t="shared" si="357"/>
        <v>0.3373972966</v>
      </c>
      <c r="P131" s="591">
        <f t="shared" si="357"/>
        <v>0.05567726826</v>
      </c>
      <c r="Q131" s="591">
        <f t="shared" si="357"/>
        <v>0.2433414044</v>
      </c>
      <c r="R131" s="591">
        <f t="shared" si="357"/>
        <v>0.1783613238</v>
      </c>
      <c r="S131" s="591">
        <f t="shared" si="357"/>
        <v>0.08799066102</v>
      </c>
      <c r="T131" s="591">
        <f t="shared" si="357"/>
        <v>0.2867332382</v>
      </c>
      <c r="U131" s="591">
        <f t="shared" si="357"/>
        <v>0.3432286878</v>
      </c>
      <c r="V131" s="591">
        <f t="shared" si="357"/>
        <v>0.4170999557</v>
      </c>
    </row>
    <row r="132" ht="15.75" customHeight="1">
      <c r="A132" s="421" t="s">
        <v>503</v>
      </c>
      <c r="B132" s="590">
        <v>0.24833333333333332</v>
      </c>
      <c r="C132" s="591">
        <f t="shared" ref="C132:G132" si="358">($B132*(C$116-1))/($B132*(C$116-1)+1)</f>
        <v>0.2468745293</v>
      </c>
      <c r="D132" s="591">
        <f t="shared" si="358"/>
        <v>0.3811370575</v>
      </c>
      <c r="E132" s="591">
        <f t="shared" si="358"/>
        <v>0.7995282231</v>
      </c>
      <c r="F132" s="591">
        <f t="shared" si="358"/>
        <v>0.3763447566</v>
      </c>
      <c r="G132" s="591">
        <f t="shared" si="358"/>
        <v>0.1296779809</v>
      </c>
      <c r="H132" s="591"/>
      <c r="I132" s="591">
        <f t="shared" si="332"/>
        <v>0.1552389266</v>
      </c>
      <c r="J132" s="591">
        <v>1.0</v>
      </c>
      <c r="K132" s="591">
        <f t="shared" ref="K132:V132" si="359">($B132*(K$116-1))/($B132*(K$116-1)+1)</f>
        <v>0.4699318862</v>
      </c>
      <c r="L132" s="591">
        <f t="shared" si="359"/>
        <v>0.2052559076</v>
      </c>
      <c r="M132" s="591">
        <f t="shared" si="359"/>
        <v>0.4808655701</v>
      </c>
      <c r="N132" s="591">
        <f t="shared" si="359"/>
        <v>0.3886534072</v>
      </c>
      <c r="O132" s="591">
        <f t="shared" si="359"/>
        <v>0.3205752463</v>
      </c>
      <c r="P132" s="591">
        <f t="shared" si="359"/>
        <v>0.05180315433</v>
      </c>
      <c r="Q132" s="591">
        <f t="shared" si="359"/>
        <v>0.2295839753</v>
      </c>
      <c r="R132" s="591">
        <f t="shared" si="359"/>
        <v>0.1674645132</v>
      </c>
      <c r="S132" s="591">
        <f t="shared" si="359"/>
        <v>0.0820635212</v>
      </c>
      <c r="T132" s="591">
        <f t="shared" si="359"/>
        <v>0.2714025501</v>
      </c>
      <c r="U132" s="591">
        <f t="shared" si="359"/>
        <v>0.3262590534</v>
      </c>
      <c r="V132" s="591">
        <f t="shared" si="359"/>
        <v>0.3986951685</v>
      </c>
    </row>
    <row r="133" ht="15.75" customHeight="1">
      <c r="A133" s="421" t="s">
        <v>459</v>
      </c>
      <c r="B133" s="590">
        <v>0.209</v>
      </c>
      <c r="C133" s="591">
        <f t="shared" ref="C133:G133" si="360">($B133*(C$116-1))/($B133*(C$116-1)+1)</f>
        <v>0.2162272314</v>
      </c>
      <c r="D133" s="591">
        <f t="shared" si="360"/>
        <v>0.3413773118</v>
      </c>
      <c r="E133" s="591">
        <f t="shared" si="360"/>
        <v>0.770460044</v>
      </c>
      <c r="F133" s="591">
        <f t="shared" si="360"/>
        <v>0.3368128552</v>
      </c>
      <c r="G133" s="591">
        <f t="shared" si="360"/>
        <v>0.1114270482</v>
      </c>
      <c r="H133" s="591"/>
      <c r="I133" s="591">
        <f t="shared" si="332"/>
        <v>0.1339441914</v>
      </c>
      <c r="J133" s="591">
        <v>1.0</v>
      </c>
      <c r="K133" s="591">
        <f t="shared" ref="K133:V133" si="361">($B133*(K$116-1))/($B133*(K$116-1)+1)</f>
        <v>0.4273049544</v>
      </c>
      <c r="L133" s="591">
        <f t="shared" si="361"/>
        <v>0.1785503056</v>
      </c>
      <c r="M133" s="591">
        <f t="shared" si="361"/>
        <v>0.4380664992</v>
      </c>
      <c r="N133" s="591">
        <f t="shared" si="361"/>
        <v>0.3485511778</v>
      </c>
      <c r="O133" s="591">
        <f t="shared" si="361"/>
        <v>0.2842316226</v>
      </c>
      <c r="P133" s="591">
        <f t="shared" si="361"/>
        <v>0.0439587755</v>
      </c>
      <c r="Q133" s="591">
        <f t="shared" si="361"/>
        <v>0.2005116725</v>
      </c>
      <c r="R133" s="591">
        <f t="shared" si="361"/>
        <v>0.1447801657</v>
      </c>
      <c r="S133" s="591">
        <f t="shared" si="361"/>
        <v>0.06997507533</v>
      </c>
      <c r="T133" s="591">
        <f t="shared" si="361"/>
        <v>0.238675295</v>
      </c>
      <c r="U133" s="591">
        <f t="shared" si="361"/>
        <v>0.2895456645</v>
      </c>
      <c r="V133" s="591">
        <f t="shared" si="361"/>
        <v>0.3581638351</v>
      </c>
    </row>
    <row r="134" ht="15.75" customHeight="1">
      <c r="A134" s="430" t="s">
        <v>504</v>
      </c>
      <c r="B134" s="593">
        <v>0.21029186391704668</v>
      </c>
      <c r="C134" s="591">
        <f t="shared" ref="C134:G134" si="362">($B134*(C$116-1))/($B134*(C$116-1)+1)</f>
        <v>0.2172733742</v>
      </c>
      <c r="D134" s="591">
        <f t="shared" si="362"/>
        <v>0.3427641518</v>
      </c>
      <c r="E134" s="591">
        <f t="shared" si="362"/>
        <v>0.7715480105</v>
      </c>
      <c r="F134" s="591">
        <f t="shared" si="362"/>
        <v>0.3381906738</v>
      </c>
      <c r="G134" s="591">
        <f t="shared" si="362"/>
        <v>0.1120386308</v>
      </c>
      <c r="H134" s="591"/>
      <c r="I134" s="591">
        <f t="shared" si="332"/>
        <v>0.134660633</v>
      </c>
      <c r="J134" s="591">
        <v>1.0</v>
      </c>
      <c r="K134" s="591">
        <f t="shared" ref="K134:V134" si="363">($B134*(K$116-1))/($B134*(K$116-1)+1)</f>
        <v>0.4288135967</v>
      </c>
      <c r="L134" s="591">
        <f t="shared" si="363"/>
        <v>0.1794558985</v>
      </c>
      <c r="M134" s="591">
        <f t="shared" si="363"/>
        <v>0.4395839726</v>
      </c>
      <c r="N134" s="591">
        <f t="shared" si="363"/>
        <v>0.3499516764</v>
      </c>
      <c r="O134" s="591">
        <f t="shared" si="363"/>
        <v>0.2854869386</v>
      </c>
      <c r="P134" s="591">
        <f t="shared" si="363"/>
        <v>0.04421847715</v>
      </c>
      <c r="Q134" s="591">
        <f t="shared" si="363"/>
        <v>0.2015013287</v>
      </c>
      <c r="R134" s="591">
        <f t="shared" si="363"/>
        <v>0.1455448266</v>
      </c>
      <c r="S134" s="591">
        <f t="shared" si="363"/>
        <v>0.0703771629</v>
      </c>
      <c r="T134" s="591">
        <f t="shared" si="363"/>
        <v>0.2397968166</v>
      </c>
      <c r="U134" s="591">
        <f t="shared" si="363"/>
        <v>0.2908149144</v>
      </c>
      <c r="V134" s="591">
        <f t="shared" si="363"/>
        <v>0.3595816384</v>
      </c>
    </row>
    <row r="135" ht="15.75" customHeight="1"/>
    <row r="136" ht="15.75" customHeight="1">
      <c r="A136" s="14" t="s">
        <v>695</v>
      </c>
      <c r="B136" s="18">
        <v>0.25072138161592733</v>
      </c>
    </row>
    <row r="137" ht="15.75" customHeight="1">
      <c r="A137" s="14" t="s">
        <v>696</v>
      </c>
      <c r="B137" s="18">
        <v>0.2268996461551494</v>
      </c>
    </row>
    <row r="138" ht="15.75" customHeight="1"/>
    <row r="139" ht="15.75" customHeight="1">
      <c r="A139" s="601" t="s">
        <v>697</v>
      </c>
    </row>
    <row r="140" ht="15.75" customHeight="1">
      <c r="A140" s="14" t="s">
        <v>697</v>
      </c>
      <c r="B140" s="582" t="s">
        <v>288</v>
      </c>
      <c r="C140" s="582" t="s">
        <v>405</v>
      </c>
      <c r="D140" s="583" t="s">
        <v>292</v>
      </c>
      <c r="E140" s="583" t="s">
        <v>294</v>
      </c>
      <c r="F140" s="582" t="s">
        <v>296</v>
      </c>
      <c r="G140" s="583" t="s">
        <v>298</v>
      </c>
      <c r="H140" s="582" t="s">
        <v>300</v>
      </c>
      <c r="I140" s="583" t="s">
        <v>89</v>
      </c>
      <c r="J140" s="582" t="s">
        <v>303</v>
      </c>
      <c r="K140" s="583" t="s">
        <v>305</v>
      </c>
      <c r="L140" s="582" t="s">
        <v>307</v>
      </c>
      <c r="M140" s="583" t="s">
        <v>406</v>
      </c>
      <c r="N140" s="582" t="s">
        <v>311</v>
      </c>
      <c r="O140" s="583" t="s">
        <v>313</v>
      </c>
      <c r="P140" s="582" t="s">
        <v>315</v>
      </c>
      <c r="Q140" s="583" t="s">
        <v>407</v>
      </c>
      <c r="R140" s="582" t="s">
        <v>319</v>
      </c>
      <c r="S140" s="583" t="s">
        <v>321</v>
      </c>
      <c r="T140" s="582" t="s">
        <v>323</v>
      </c>
      <c r="U140" s="584" t="s">
        <v>408</v>
      </c>
    </row>
    <row r="141" ht="15.75" customHeight="1">
      <c r="A141" s="14" t="s">
        <v>409</v>
      </c>
      <c r="B141" s="309">
        <f t="shared" ref="B141:E141" si="364">$B$136*(C7-1)/($B$136*(C7-1)+1)</f>
        <v>0.09731829033</v>
      </c>
      <c r="C141" s="309">
        <f t="shared" si="364"/>
        <v>0.3121501728</v>
      </c>
      <c r="D141" s="309">
        <f t="shared" si="364"/>
        <v>0.5900195559</v>
      </c>
      <c r="E141" s="309">
        <f t="shared" si="364"/>
        <v>0.15291523</v>
      </c>
      <c r="F141" s="557" t="s">
        <v>95</v>
      </c>
      <c r="G141" s="309">
        <f t="shared" ref="G141:H141" si="365">$B$136*(H7-1)/($B$136*(H7-1)+1)</f>
        <v>0.06119819806</v>
      </c>
      <c r="H141" s="309">
        <f t="shared" si="365"/>
        <v>0.1133713479</v>
      </c>
      <c r="I141" s="309">
        <v>1.0</v>
      </c>
      <c r="J141" s="309">
        <f t="shared" ref="J141:L141" si="366">$B$136*(K7-1)/($B$136*(K7-1)+1)</f>
        <v>0.09731829033</v>
      </c>
      <c r="K141" s="309">
        <f t="shared" si="366"/>
        <v>0.4451560076</v>
      </c>
      <c r="L141" s="309">
        <f t="shared" si="366"/>
        <v>0.3862435079</v>
      </c>
      <c r="M141" s="557" t="s">
        <v>95</v>
      </c>
      <c r="N141" s="309">
        <f>$B$136*(O7-1)/($B$136*(O7-1)+1)</f>
        <v>0.1705316662</v>
      </c>
      <c r="O141" s="557" t="s">
        <v>95</v>
      </c>
      <c r="P141" s="309">
        <f t="shared" ref="P141:Q141" si="367">$B$136*(Q7-1)/($B$136*(Q7-1)+1)</f>
        <v>0.244388022</v>
      </c>
      <c r="Q141" s="309">
        <f t="shared" si="367"/>
        <v>0.1923664496</v>
      </c>
      <c r="R141" s="557" t="s">
        <v>95</v>
      </c>
      <c r="S141" s="309">
        <f t="shared" ref="S141:U141" si="368">$B$136*(T7-1)/($B$136*(T7-1)+1)</f>
        <v>0.1054168303</v>
      </c>
      <c r="T141" s="309">
        <f t="shared" si="368"/>
        <v>0.1653241542</v>
      </c>
      <c r="U141" s="309">
        <f t="shared" si="368"/>
        <v>0.1739673911</v>
      </c>
      <c r="V141" s="602"/>
    </row>
    <row r="142" ht="15.75" customHeight="1">
      <c r="A142" s="14" t="s">
        <v>410</v>
      </c>
      <c r="B142" s="309">
        <f t="shared" ref="B142:F142" si="369">$B$137*(C28-1)/($B$137*(C28-1)+1)</f>
        <v>0.1503691352</v>
      </c>
      <c r="C142" s="309">
        <f t="shared" si="369"/>
        <v>0.2911262128</v>
      </c>
      <c r="D142" s="309">
        <f t="shared" si="369"/>
        <v>0.7213650298</v>
      </c>
      <c r="E142" s="309">
        <f t="shared" si="369"/>
        <v>0.322717727</v>
      </c>
      <c r="F142" s="309">
        <f t="shared" si="369"/>
        <v>0.06769285185</v>
      </c>
      <c r="G142" s="557" t="s">
        <v>95</v>
      </c>
      <c r="H142" s="309">
        <f>$B$137*(I28-1)/($B$137*(I28-1)+1)</f>
        <v>0.100056466</v>
      </c>
      <c r="I142" s="309">
        <v>1.0</v>
      </c>
      <c r="J142" s="309">
        <f t="shared" ref="J142:U142" si="370">$B$137*(K28-1)/($B$137*(K28-1)+1)</f>
        <v>0.2304777197</v>
      </c>
      <c r="K142" s="309">
        <f t="shared" si="370"/>
        <v>0.178863055</v>
      </c>
      <c r="L142" s="309">
        <f t="shared" si="370"/>
        <v>0.3628617647</v>
      </c>
      <c r="M142" s="309">
        <f t="shared" si="370"/>
        <v>0.3349813446</v>
      </c>
      <c r="N142" s="309">
        <f t="shared" si="370"/>
        <v>0.2711983368</v>
      </c>
      <c r="O142" s="309">
        <f t="shared" si="370"/>
        <v>0.0286518128</v>
      </c>
      <c r="P142" s="309">
        <f t="shared" si="370"/>
        <v>0.1198266174</v>
      </c>
      <c r="Q142" s="309">
        <f t="shared" si="370"/>
        <v>0.1302485548</v>
      </c>
      <c r="R142" s="309">
        <f t="shared" si="370"/>
        <v>0.05973671393</v>
      </c>
      <c r="S142" s="309">
        <f t="shared" si="370"/>
        <v>0.1568707056</v>
      </c>
      <c r="T142" s="309">
        <f t="shared" si="370"/>
        <v>0.1503691352</v>
      </c>
      <c r="U142" s="309">
        <f t="shared" si="370"/>
        <v>0.2436833364</v>
      </c>
    </row>
    <row r="143" ht="15.75" customHeight="1">
      <c r="B143" s="309"/>
      <c r="C143" s="309"/>
    </row>
    <row r="144" ht="15.75" customHeight="1">
      <c r="A144" s="601" t="s">
        <v>698</v>
      </c>
      <c r="B144" s="309"/>
      <c r="C144" s="309"/>
    </row>
    <row r="145" ht="15.75" customHeight="1">
      <c r="A145" s="14" t="s">
        <v>698</v>
      </c>
      <c r="B145" s="582" t="s">
        <v>288</v>
      </c>
      <c r="C145" s="582" t="s">
        <v>405</v>
      </c>
      <c r="D145" s="583" t="s">
        <v>292</v>
      </c>
      <c r="E145" s="583" t="s">
        <v>294</v>
      </c>
      <c r="F145" s="582" t="s">
        <v>296</v>
      </c>
      <c r="G145" s="583" t="s">
        <v>298</v>
      </c>
      <c r="H145" s="582" t="s">
        <v>300</v>
      </c>
      <c r="I145" s="583" t="s">
        <v>89</v>
      </c>
      <c r="J145" s="582" t="s">
        <v>303</v>
      </c>
      <c r="K145" s="583" t="s">
        <v>305</v>
      </c>
      <c r="L145" s="582" t="s">
        <v>307</v>
      </c>
      <c r="M145" s="583" t="s">
        <v>406</v>
      </c>
      <c r="N145" s="582" t="s">
        <v>311</v>
      </c>
      <c r="O145" s="583" t="s">
        <v>313</v>
      </c>
      <c r="P145" s="582" t="s">
        <v>315</v>
      </c>
      <c r="Q145" s="583" t="s">
        <v>407</v>
      </c>
      <c r="R145" s="582" t="s">
        <v>319</v>
      </c>
      <c r="S145" s="583" t="s">
        <v>321</v>
      </c>
      <c r="T145" s="582" t="s">
        <v>323</v>
      </c>
      <c r="U145" s="584" t="s">
        <v>408</v>
      </c>
    </row>
    <row r="146" ht="15.75" customHeight="1">
      <c r="A146" s="198" t="s">
        <v>699</v>
      </c>
      <c r="B146" s="557">
        <v>1.14</v>
      </c>
      <c r="C146" s="557">
        <v>2.27</v>
      </c>
      <c r="D146" s="557">
        <v>5.55</v>
      </c>
      <c r="E146" s="557">
        <v>1.51</v>
      </c>
      <c r="F146" s="198" t="s">
        <v>70</v>
      </c>
      <c r="G146" s="557">
        <v>1.07</v>
      </c>
      <c r="H146" s="557">
        <v>1.33</v>
      </c>
      <c r="I146" s="557">
        <v>1.0</v>
      </c>
      <c r="J146" s="557">
        <v>1.04</v>
      </c>
      <c r="K146" s="557">
        <v>2.76</v>
      </c>
      <c r="L146" s="557">
        <v>2.61</v>
      </c>
      <c r="M146" s="198" t="s">
        <v>70</v>
      </c>
      <c r="N146" s="557">
        <v>1.61</v>
      </c>
      <c r="O146" s="198" t="s">
        <v>70</v>
      </c>
      <c r="P146" s="557">
        <v>1.65</v>
      </c>
      <c r="Q146" s="557">
        <v>1.59</v>
      </c>
      <c r="R146" s="198" t="s">
        <v>70</v>
      </c>
      <c r="S146" s="557">
        <v>1.17</v>
      </c>
      <c r="T146" s="557">
        <v>1.24</v>
      </c>
      <c r="U146" s="557">
        <v>1.51</v>
      </c>
      <c r="V146" s="198"/>
      <c r="W146" s="198"/>
      <c r="X146" s="198"/>
    </row>
    <row r="147" ht="15.75" customHeight="1">
      <c r="A147" s="198" t="s">
        <v>700</v>
      </c>
      <c r="B147" s="557">
        <v>1.36</v>
      </c>
      <c r="C147" s="557">
        <v>2.27</v>
      </c>
      <c r="D147" s="557">
        <v>9.03</v>
      </c>
      <c r="E147" s="557">
        <v>2.81</v>
      </c>
      <c r="F147" s="557">
        <v>1.08</v>
      </c>
      <c r="G147" s="198" t="s">
        <v>70</v>
      </c>
      <c r="H147" s="557">
        <v>1.27</v>
      </c>
      <c r="I147" s="557">
        <v>1.0</v>
      </c>
      <c r="J147" s="557">
        <v>1.17</v>
      </c>
      <c r="K147" s="557">
        <v>1.88</v>
      </c>
      <c r="L147" s="557">
        <v>2.61</v>
      </c>
      <c r="M147" s="557">
        <v>2.91</v>
      </c>
      <c r="N147" s="557">
        <v>2.39</v>
      </c>
      <c r="O147" s="557">
        <v>1.05</v>
      </c>
      <c r="P147" s="557">
        <v>1.17</v>
      </c>
      <c r="Q147" s="557">
        <v>1.52</v>
      </c>
      <c r="R147" s="557">
        <v>1.2</v>
      </c>
      <c r="S147" s="557">
        <v>1.32</v>
      </c>
      <c r="T147" s="557">
        <v>1.07</v>
      </c>
      <c r="U147" s="557">
        <v>1.59</v>
      </c>
      <c r="V147" s="198"/>
      <c r="W147" s="198"/>
      <c r="X147" s="198"/>
    </row>
    <row r="148" ht="15.75" customHeight="1">
      <c r="A148" s="14" t="s">
        <v>409</v>
      </c>
      <c r="B148" s="309">
        <f t="shared" ref="B148:E148" si="371">$B$136*(C51-1)/($B$136*(C51-1)+1)</f>
        <v>0.03391069437</v>
      </c>
      <c r="C148" s="309">
        <f t="shared" si="371"/>
        <v>0.2415141483</v>
      </c>
      <c r="D148" s="309">
        <f t="shared" si="371"/>
        <v>0.5328810378</v>
      </c>
      <c r="E148" s="309">
        <f t="shared" si="371"/>
        <v>0.1133713479</v>
      </c>
      <c r="F148" s="557" t="s">
        <v>95</v>
      </c>
      <c r="G148" s="309">
        <f t="shared" ref="G148:H148" si="372">$B$136*(H51-1)/($B$136*(H51-1)+1)</f>
        <v>0.01724778944</v>
      </c>
      <c r="H148" s="309">
        <f t="shared" si="372"/>
        <v>0.07641557945</v>
      </c>
      <c r="I148" s="309">
        <v>1.0</v>
      </c>
      <c r="J148" s="309">
        <f t="shared" ref="J148:L148" si="373">$B$136*(K51-1)/($B$136*(K51-1)+1)</f>
        <v>0.009929275993</v>
      </c>
      <c r="K148" s="309">
        <f t="shared" si="373"/>
        <v>0.3061673</v>
      </c>
      <c r="L148" s="309">
        <f t="shared" si="373"/>
        <v>0.2875774866</v>
      </c>
      <c r="M148" s="557" t="s">
        <v>95</v>
      </c>
      <c r="N148" s="309">
        <f>$B$136*(O51-1)/($B$136*(O51-1)+1)</f>
        <v>0.1326522084</v>
      </c>
      <c r="O148" s="557" t="s">
        <v>95</v>
      </c>
      <c r="P148" s="309">
        <f t="shared" ref="P148:Q148" si="374">$B$136*(Q51-1)/($B$136*(Q51-1)+1)</f>
        <v>0.1401317768</v>
      </c>
      <c r="Q148" s="309">
        <f t="shared" si="374"/>
        <v>0.1288634152</v>
      </c>
      <c r="R148" s="557" t="s">
        <v>95</v>
      </c>
      <c r="S148" s="309">
        <f t="shared" ref="S148:U148" si="375">$B$136*(T51-1)/($B$136*(T51-1)+1)</f>
        <v>0.0408802125</v>
      </c>
      <c r="T148" s="309">
        <f t="shared" si="375"/>
        <v>0.05675783492</v>
      </c>
      <c r="U148" s="309">
        <f t="shared" si="375"/>
        <v>0.1133713479</v>
      </c>
      <c r="V148" s="602"/>
    </row>
    <row r="149" ht="15.75" customHeight="1">
      <c r="A149" s="14" t="s">
        <v>410</v>
      </c>
      <c r="B149" s="309">
        <f t="shared" ref="B149:F149" si="376">$B$137*(C72-1)/($B$137*(C72-1)+1)</f>
        <v>0.07551547609</v>
      </c>
      <c r="C149" s="309">
        <f t="shared" si="376"/>
        <v>0.2237004565</v>
      </c>
      <c r="D149" s="309">
        <f t="shared" si="376"/>
        <v>0.6456419113</v>
      </c>
      <c r="E149" s="309">
        <f t="shared" si="376"/>
        <v>0.2911262128</v>
      </c>
      <c r="F149" s="309">
        <f t="shared" si="376"/>
        <v>0.01782835195</v>
      </c>
      <c r="G149" s="557" t="s">
        <v>95</v>
      </c>
      <c r="H149" s="309">
        <f>$B$137*(I72-1)/($B$137*(I72-1)+1)</f>
        <v>0.05772641652</v>
      </c>
      <c r="I149" s="309">
        <v>1.0</v>
      </c>
      <c r="J149" s="309">
        <f t="shared" ref="J149:U149" si="377">$B$137*(K72-1)/($B$137*(K72-1)+1)</f>
        <v>0.0371403282</v>
      </c>
      <c r="K149" s="309">
        <f t="shared" si="377"/>
        <v>0.1664386103</v>
      </c>
      <c r="L149" s="309">
        <f t="shared" si="377"/>
        <v>0.2675647657</v>
      </c>
      <c r="M149" s="309">
        <f t="shared" si="377"/>
        <v>0.30234748</v>
      </c>
      <c r="N149" s="309">
        <f t="shared" si="377"/>
        <v>0.2397694876</v>
      </c>
      <c r="O149" s="309">
        <f t="shared" si="377"/>
        <v>0.0112177175</v>
      </c>
      <c r="P149" s="309">
        <f t="shared" si="377"/>
        <v>0.0371403282</v>
      </c>
      <c r="Q149" s="309">
        <f t="shared" si="377"/>
        <v>0.1055358693</v>
      </c>
      <c r="R149" s="309">
        <f t="shared" si="377"/>
        <v>0.04340998709</v>
      </c>
      <c r="S149" s="309">
        <f t="shared" si="377"/>
        <v>0.06769285185</v>
      </c>
      <c r="T149" s="309">
        <f t="shared" si="377"/>
        <v>0.01563465046</v>
      </c>
      <c r="U149" s="309">
        <f t="shared" si="377"/>
        <v>0.1180652966</v>
      </c>
    </row>
    <row r="150" ht="15.75" customHeight="1"/>
    <row r="151" ht="15.75" customHeight="1">
      <c r="A151" s="601" t="s">
        <v>701</v>
      </c>
    </row>
    <row r="152" ht="15.75" customHeight="1">
      <c r="A152" s="14" t="s">
        <v>701</v>
      </c>
      <c r="B152" s="582" t="s">
        <v>288</v>
      </c>
      <c r="C152" s="582" t="s">
        <v>405</v>
      </c>
      <c r="D152" s="583" t="s">
        <v>292</v>
      </c>
      <c r="E152" s="583" t="s">
        <v>294</v>
      </c>
      <c r="F152" s="582" t="s">
        <v>296</v>
      </c>
      <c r="G152" s="583" t="s">
        <v>298</v>
      </c>
      <c r="H152" s="582" t="s">
        <v>300</v>
      </c>
      <c r="I152" s="583" t="s">
        <v>89</v>
      </c>
      <c r="J152" s="582" t="s">
        <v>303</v>
      </c>
      <c r="K152" s="583" t="s">
        <v>305</v>
      </c>
      <c r="L152" s="582" t="s">
        <v>307</v>
      </c>
      <c r="M152" s="583" t="s">
        <v>406</v>
      </c>
      <c r="N152" s="582" t="s">
        <v>311</v>
      </c>
      <c r="O152" s="583" t="s">
        <v>313</v>
      </c>
      <c r="P152" s="582" t="s">
        <v>315</v>
      </c>
      <c r="Q152" s="583" t="s">
        <v>407</v>
      </c>
      <c r="R152" s="582" t="s">
        <v>319</v>
      </c>
      <c r="S152" s="583" t="s">
        <v>321</v>
      </c>
      <c r="T152" s="582" t="s">
        <v>323</v>
      </c>
      <c r="U152" s="584" t="s">
        <v>408</v>
      </c>
    </row>
    <row r="153" ht="15.75" customHeight="1">
      <c r="A153" s="198" t="s">
        <v>699</v>
      </c>
      <c r="B153" s="557">
        <v>1.79</v>
      </c>
      <c r="C153" s="557">
        <v>3.48</v>
      </c>
      <c r="D153" s="557">
        <v>8.19</v>
      </c>
      <c r="E153" s="557">
        <v>2.81</v>
      </c>
      <c r="F153" s="198" t="s">
        <v>70</v>
      </c>
      <c r="G153" s="557">
        <v>1.48</v>
      </c>
      <c r="H153" s="557">
        <v>1.72</v>
      </c>
      <c r="I153" s="557">
        <v>1.0</v>
      </c>
      <c r="J153" s="557">
        <v>1.96</v>
      </c>
      <c r="K153" s="557">
        <v>6.41</v>
      </c>
      <c r="L153" s="557">
        <v>4.73</v>
      </c>
      <c r="M153" s="198" t="s">
        <v>70</v>
      </c>
      <c r="N153" s="557">
        <v>2.05</v>
      </c>
      <c r="O153" s="198" t="s">
        <v>70</v>
      </c>
      <c r="P153" s="557">
        <v>3.19</v>
      </c>
      <c r="Q153" s="557">
        <v>2.39</v>
      </c>
      <c r="R153" s="198" t="s">
        <v>70</v>
      </c>
      <c r="S153" s="557">
        <v>1.85</v>
      </c>
      <c r="T153" s="557">
        <v>2.59</v>
      </c>
      <c r="U153" s="557">
        <v>2.24</v>
      </c>
      <c r="V153" s="603"/>
      <c r="W153" s="198"/>
      <c r="X153" s="198"/>
    </row>
    <row r="154" ht="15.75" customHeight="1">
      <c r="A154" s="198" t="s">
        <v>700</v>
      </c>
      <c r="B154" s="557">
        <v>2.32</v>
      </c>
      <c r="C154" s="557">
        <v>3.48</v>
      </c>
      <c r="D154" s="557">
        <v>17.06</v>
      </c>
      <c r="E154" s="557">
        <v>3.43</v>
      </c>
      <c r="F154" s="557">
        <v>1.6</v>
      </c>
      <c r="G154" s="198" t="s">
        <v>70</v>
      </c>
      <c r="H154" s="557">
        <v>1.74</v>
      </c>
      <c r="I154" s="557">
        <v>1.0</v>
      </c>
      <c r="J154" s="557">
        <v>4.57</v>
      </c>
      <c r="K154" s="557">
        <v>2.04</v>
      </c>
      <c r="L154" s="557">
        <v>4.73</v>
      </c>
      <c r="M154" s="557">
        <v>3.56</v>
      </c>
      <c r="N154" s="557">
        <v>2.9</v>
      </c>
      <c r="O154" s="557">
        <v>1.22</v>
      </c>
      <c r="P154" s="557">
        <v>2.2</v>
      </c>
      <c r="Q154" s="557">
        <v>1.81</v>
      </c>
      <c r="R154" s="557">
        <v>1.36</v>
      </c>
      <c r="S154" s="557">
        <v>2.5</v>
      </c>
      <c r="T154" s="557">
        <v>2.95</v>
      </c>
      <c r="U154" s="557">
        <v>3.67</v>
      </c>
      <c r="V154" s="603"/>
      <c r="W154" s="198"/>
      <c r="X154" s="198"/>
    </row>
    <row r="155" ht="15.75" customHeight="1">
      <c r="A155" s="14" t="s">
        <v>409</v>
      </c>
      <c r="B155" s="309">
        <f t="shared" ref="B155:E155" si="378">$B$136*(C95-1)/($B$136*(C95-1)+1)</f>
        <v>0.1653241542</v>
      </c>
      <c r="C155" s="309">
        <f t="shared" si="378"/>
        <v>0.3833969871</v>
      </c>
      <c r="D155" s="309">
        <f t="shared" si="378"/>
        <v>0.64319951</v>
      </c>
      <c r="E155" s="309">
        <f t="shared" si="378"/>
        <v>0.3121501728</v>
      </c>
      <c r="F155" s="557" t="s">
        <v>95</v>
      </c>
      <c r="G155" s="309">
        <f t="shared" ref="G155:H155" si="379">$B$136*(H95-1)/($B$136*(H95-1)+1)</f>
        <v>0.1074188107</v>
      </c>
      <c r="H155" s="309">
        <f t="shared" si="379"/>
        <v>0.15291523</v>
      </c>
      <c r="I155" s="309">
        <v>1.0</v>
      </c>
      <c r="J155" s="309">
        <f t="shared" ref="J155:L155" si="380">$B$136*(K95-1)/($B$136*(K95-1)+1)</f>
        <v>0.19399853</v>
      </c>
      <c r="K155" s="309">
        <f t="shared" si="380"/>
        <v>0.5756243146</v>
      </c>
      <c r="L155" s="309">
        <f t="shared" si="380"/>
        <v>0.4832550754</v>
      </c>
      <c r="M155" s="557" t="s">
        <v>95</v>
      </c>
      <c r="N155" s="309">
        <f>$B$136*(O95-1)/($B$136*(O95-1)+1)</f>
        <v>0.2083957237</v>
      </c>
      <c r="O155" s="557" t="s">
        <v>95</v>
      </c>
      <c r="P155" s="309">
        <f t="shared" ref="P155:Q155" si="381">$B$136*(Q95-1)/($B$136*(Q95-1)+1)</f>
        <v>0.3544554752</v>
      </c>
      <c r="Q155" s="309">
        <f t="shared" si="381"/>
        <v>0.2584367945</v>
      </c>
      <c r="R155" s="557" t="s">
        <v>95</v>
      </c>
      <c r="S155" s="309">
        <f t="shared" ref="S155:U155" si="382">$B$136*(T95-1)/($B$136*(T95-1)+1)</f>
        <v>0.1756746022</v>
      </c>
      <c r="T155" s="309">
        <f t="shared" si="382"/>
        <v>0.2850233102</v>
      </c>
      <c r="U155" s="309">
        <f t="shared" si="382"/>
        <v>0.2371621134</v>
      </c>
      <c r="V155" s="602"/>
    </row>
    <row r="156" ht="15.75" customHeight="1">
      <c r="A156" s="14" t="s">
        <v>410</v>
      </c>
      <c r="B156" s="309">
        <f t="shared" ref="B156:F156" si="383">$B$137*(C116-1)/($B$137*(C116-1)+1)</f>
        <v>0.2304777197</v>
      </c>
      <c r="C156" s="309">
        <f t="shared" si="383"/>
        <v>0.3600864641</v>
      </c>
      <c r="D156" s="309">
        <f t="shared" si="383"/>
        <v>0.784668775</v>
      </c>
      <c r="E156" s="309">
        <f t="shared" si="383"/>
        <v>0.3554068417</v>
      </c>
      <c r="F156" s="309">
        <f t="shared" si="383"/>
        <v>0.1198266174</v>
      </c>
      <c r="G156" s="557" t="s">
        <v>95</v>
      </c>
      <c r="H156" s="309">
        <f>$B$137*(I116-1)/($B$137*(I116-1)+1)</f>
        <v>0.1437665153</v>
      </c>
      <c r="I156" s="309">
        <v>1.0</v>
      </c>
      <c r="J156" s="309">
        <f t="shared" ref="J156:U156" si="384">$B$137*(K116-1)/($B$137*(K116-1)+1)</f>
        <v>0.4475234993</v>
      </c>
      <c r="K156" s="309">
        <f t="shared" si="384"/>
        <v>0.1909225602</v>
      </c>
      <c r="L156" s="309">
        <f t="shared" si="384"/>
        <v>0.4583866787</v>
      </c>
      <c r="M156" s="309">
        <f t="shared" si="384"/>
        <v>0.3674341544</v>
      </c>
      <c r="N156" s="309">
        <f t="shared" si="384"/>
        <v>0.3012413652</v>
      </c>
      <c r="O156" s="309">
        <f t="shared" si="384"/>
        <v>0.04754459477</v>
      </c>
      <c r="P156" s="309">
        <f t="shared" si="384"/>
        <v>0.2140092324</v>
      </c>
      <c r="Q156" s="309">
        <f t="shared" si="384"/>
        <v>0.1552546593</v>
      </c>
      <c r="R156" s="309">
        <f t="shared" si="384"/>
        <v>0.07551547609</v>
      </c>
      <c r="S156" s="309">
        <f t="shared" si="384"/>
        <v>0.2539259179</v>
      </c>
      <c r="T156" s="309">
        <f t="shared" si="384"/>
        <v>0.3067371403</v>
      </c>
      <c r="U156" s="309">
        <f t="shared" si="384"/>
        <v>0.3772659949</v>
      </c>
    </row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6">
    <mergeCell ref="A6:A8"/>
    <mergeCell ref="A27:A29"/>
    <mergeCell ref="A50:A52"/>
    <mergeCell ref="A71:A73"/>
    <mergeCell ref="A94:A96"/>
    <mergeCell ref="A115:A117"/>
  </mergeCells>
  <printOptions/>
  <pageMargins bottom="0.787401575" footer="0.0" header="0.0" left="0.7" right="0.7" top="0.7874015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4.38"/>
    <col customWidth="1" min="2" max="2" width="14.0"/>
    <col customWidth="1" min="3" max="6" width="11.25"/>
  </cols>
  <sheetData>
    <row r="1" ht="15.75" customHeight="1">
      <c r="A1" s="604" t="s">
        <v>702</v>
      </c>
      <c r="B1" s="604" t="s">
        <v>703</v>
      </c>
    </row>
    <row r="2" ht="15.75" customHeight="1">
      <c r="A2" s="411" t="s">
        <v>288</v>
      </c>
      <c r="B2" s="577" t="s">
        <v>289</v>
      </c>
    </row>
    <row r="3" ht="15.75" customHeight="1">
      <c r="A3" s="411" t="s">
        <v>405</v>
      </c>
      <c r="B3" s="14" t="s">
        <v>291</v>
      </c>
    </row>
    <row r="4" ht="15.75" customHeight="1">
      <c r="A4" s="605" t="s">
        <v>292</v>
      </c>
      <c r="B4" s="14" t="s">
        <v>704</v>
      </c>
    </row>
    <row r="5" ht="15.75" customHeight="1">
      <c r="A5" s="605" t="s">
        <v>292</v>
      </c>
      <c r="B5" s="14" t="s">
        <v>705</v>
      </c>
    </row>
    <row r="6" ht="15.75" customHeight="1">
      <c r="A6" s="605" t="s">
        <v>292</v>
      </c>
      <c r="B6" s="14" t="s">
        <v>706</v>
      </c>
    </row>
    <row r="7" ht="15.75" customHeight="1">
      <c r="A7" s="605" t="s">
        <v>294</v>
      </c>
      <c r="B7" s="14" t="s">
        <v>707</v>
      </c>
    </row>
    <row r="8" ht="15.75" customHeight="1">
      <c r="A8" s="411" t="s">
        <v>296</v>
      </c>
      <c r="B8" s="14" t="s">
        <v>708</v>
      </c>
    </row>
    <row r="9" ht="15.75" customHeight="1">
      <c r="A9" s="605" t="s">
        <v>298</v>
      </c>
      <c r="B9" s="14" t="s">
        <v>709</v>
      </c>
    </row>
    <row r="10" ht="15.75" customHeight="1">
      <c r="A10" s="605" t="s">
        <v>298</v>
      </c>
      <c r="B10" s="14" t="s">
        <v>710</v>
      </c>
    </row>
    <row r="11" ht="15.75" customHeight="1">
      <c r="A11" s="411" t="s">
        <v>300</v>
      </c>
      <c r="B11" s="14" t="s">
        <v>711</v>
      </c>
    </row>
    <row r="12" ht="15.75" customHeight="1">
      <c r="A12" s="411" t="s">
        <v>300</v>
      </c>
      <c r="B12" s="14" t="s">
        <v>712</v>
      </c>
    </row>
    <row r="13" ht="15.75" customHeight="1">
      <c r="A13" s="605" t="s">
        <v>89</v>
      </c>
      <c r="B13" s="14" t="s">
        <v>713</v>
      </c>
    </row>
    <row r="14" ht="15.75" customHeight="1">
      <c r="A14" s="605" t="s">
        <v>89</v>
      </c>
      <c r="B14" s="14" t="s">
        <v>714</v>
      </c>
    </row>
    <row r="15" ht="15.75" customHeight="1">
      <c r="A15" s="605" t="s">
        <v>89</v>
      </c>
      <c r="B15" s="14" t="s">
        <v>715</v>
      </c>
    </row>
    <row r="16" ht="15.75" customHeight="1">
      <c r="A16" s="605" t="s">
        <v>89</v>
      </c>
      <c r="B16" s="14" t="s">
        <v>716</v>
      </c>
    </row>
    <row r="17" ht="15.75" customHeight="1">
      <c r="A17" s="605" t="s">
        <v>89</v>
      </c>
      <c r="B17" s="14" t="s">
        <v>717</v>
      </c>
    </row>
    <row r="18" ht="15.75" customHeight="1">
      <c r="A18" s="411" t="s">
        <v>303</v>
      </c>
      <c r="B18" s="14" t="s">
        <v>718</v>
      </c>
    </row>
    <row r="19" ht="15.75" customHeight="1">
      <c r="A19" s="411" t="s">
        <v>303</v>
      </c>
      <c r="B19" s="14" t="s">
        <v>719</v>
      </c>
    </row>
    <row r="20" ht="15.75" customHeight="1">
      <c r="A20" s="605" t="s">
        <v>305</v>
      </c>
      <c r="B20" s="14" t="s">
        <v>720</v>
      </c>
    </row>
    <row r="21" ht="15.75" customHeight="1">
      <c r="A21" s="411" t="s">
        <v>307</v>
      </c>
      <c r="B21" s="14" t="s">
        <v>308</v>
      </c>
    </row>
    <row r="22" ht="15.75" customHeight="1">
      <c r="A22" s="605" t="s">
        <v>406</v>
      </c>
      <c r="B22" s="14" t="s">
        <v>721</v>
      </c>
    </row>
    <row r="23" ht="15.75" customHeight="1">
      <c r="A23" s="605" t="s">
        <v>406</v>
      </c>
      <c r="B23" s="14" t="s">
        <v>722</v>
      </c>
    </row>
    <row r="24" ht="15.75" customHeight="1">
      <c r="A24" s="605" t="s">
        <v>406</v>
      </c>
      <c r="B24" s="14" t="s">
        <v>723</v>
      </c>
    </row>
    <row r="25" ht="15.75" customHeight="1">
      <c r="A25" s="605" t="s">
        <v>406</v>
      </c>
      <c r="B25" s="14" t="s">
        <v>724</v>
      </c>
    </row>
    <row r="26" ht="15.75" customHeight="1">
      <c r="A26" s="411" t="s">
        <v>311</v>
      </c>
      <c r="B26" s="14" t="s">
        <v>725</v>
      </c>
    </row>
    <row r="27" ht="15.75" customHeight="1">
      <c r="A27" s="411" t="s">
        <v>311</v>
      </c>
      <c r="B27" s="14" t="s">
        <v>726</v>
      </c>
    </row>
    <row r="28" ht="15.75" customHeight="1">
      <c r="A28" s="605" t="s">
        <v>313</v>
      </c>
      <c r="B28" s="14" t="s">
        <v>727</v>
      </c>
    </row>
    <row r="29" ht="15.75" customHeight="1">
      <c r="A29" s="605" t="s">
        <v>313</v>
      </c>
      <c r="B29" s="14" t="s">
        <v>728</v>
      </c>
    </row>
    <row r="30" ht="15.75" customHeight="1">
      <c r="A30" s="605" t="s">
        <v>313</v>
      </c>
      <c r="B30" s="14" t="s">
        <v>729</v>
      </c>
    </row>
    <row r="31" ht="15.75" customHeight="1">
      <c r="A31" s="605" t="s">
        <v>313</v>
      </c>
      <c r="B31" s="14" t="s">
        <v>730</v>
      </c>
    </row>
    <row r="32" ht="15.75" customHeight="1">
      <c r="A32" s="411" t="s">
        <v>315</v>
      </c>
      <c r="B32" s="14" t="s">
        <v>731</v>
      </c>
    </row>
    <row r="33" ht="15.75" customHeight="1">
      <c r="A33" s="411" t="s">
        <v>315</v>
      </c>
      <c r="B33" s="14" t="s">
        <v>732</v>
      </c>
    </row>
    <row r="34" ht="15.75" customHeight="1">
      <c r="A34" s="411" t="s">
        <v>315</v>
      </c>
      <c r="B34" s="14" t="s">
        <v>733</v>
      </c>
    </row>
    <row r="35" ht="15.75" customHeight="1">
      <c r="A35" s="411" t="s">
        <v>315</v>
      </c>
      <c r="B35" s="14" t="s">
        <v>734</v>
      </c>
    </row>
    <row r="36" ht="15.75" customHeight="1">
      <c r="A36" s="605" t="s">
        <v>407</v>
      </c>
      <c r="B36" s="14" t="s">
        <v>735</v>
      </c>
    </row>
    <row r="37" ht="15.75" customHeight="1">
      <c r="A37" s="605" t="s">
        <v>407</v>
      </c>
      <c r="B37" s="14" t="s">
        <v>736</v>
      </c>
    </row>
    <row r="38" ht="15.75" customHeight="1">
      <c r="A38" s="411" t="s">
        <v>319</v>
      </c>
      <c r="B38" s="14" t="s">
        <v>737</v>
      </c>
    </row>
    <row r="39" ht="15.75" customHeight="1">
      <c r="A39" s="411" t="s">
        <v>319</v>
      </c>
      <c r="B39" s="14" t="s">
        <v>738</v>
      </c>
    </row>
    <row r="40" ht="15.75" customHeight="1">
      <c r="A40" s="411" t="s">
        <v>319</v>
      </c>
      <c r="B40" s="14" t="s">
        <v>739</v>
      </c>
    </row>
    <row r="41" ht="15.75" customHeight="1">
      <c r="A41" s="605" t="s">
        <v>321</v>
      </c>
      <c r="B41" s="14" t="s">
        <v>740</v>
      </c>
    </row>
    <row r="42" ht="15.75" customHeight="1">
      <c r="A42" s="605" t="s">
        <v>321</v>
      </c>
      <c r="B42" s="14" t="s">
        <v>741</v>
      </c>
    </row>
    <row r="43" ht="15.75" customHeight="1">
      <c r="A43" s="411" t="s">
        <v>323</v>
      </c>
      <c r="B43" s="14" t="s">
        <v>324</v>
      </c>
    </row>
    <row r="44" ht="15.75" customHeight="1">
      <c r="A44" s="605" t="s">
        <v>408</v>
      </c>
      <c r="B44" s="14" t="s">
        <v>742</v>
      </c>
    </row>
    <row r="45" ht="15.75" customHeight="1">
      <c r="A45" s="14"/>
      <c r="B45" s="14"/>
    </row>
    <row r="46" ht="15.75" customHeight="1">
      <c r="A46" s="14"/>
      <c r="B46" s="14"/>
    </row>
    <row r="47" ht="15.75" customHeight="1">
      <c r="A47" s="14"/>
      <c r="B47" s="14"/>
    </row>
    <row r="48" ht="15.75" customHeight="1">
      <c r="A48" s="14"/>
      <c r="B48" s="14"/>
    </row>
    <row r="49" ht="15.75" customHeight="1">
      <c r="A49" s="14"/>
      <c r="B49" s="14"/>
    </row>
    <row r="50" ht="15.75" customHeight="1">
      <c r="A50" s="14"/>
      <c r="B50" s="14"/>
    </row>
    <row r="51" ht="15.75" customHeight="1">
      <c r="A51" s="14"/>
      <c r="B51" s="14"/>
    </row>
    <row r="52" ht="15.75" customHeight="1">
      <c r="A52" s="14"/>
      <c r="B52" s="14"/>
    </row>
    <row r="53" ht="15.75" customHeight="1">
      <c r="A53" s="14"/>
      <c r="B53" s="14"/>
    </row>
    <row r="54" ht="15.75" customHeight="1">
      <c r="A54" s="14"/>
      <c r="B54" s="14"/>
    </row>
    <row r="55" ht="15.75" customHeight="1">
      <c r="A55" s="14"/>
      <c r="B55" s="14"/>
    </row>
    <row r="56" ht="15.75" customHeight="1">
      <c r="A56" s="14"/>
      <c r="B56" s="14"/>
    </row>
    <row r="57" ht="15.75" customHeight="1">
      <c r="A57" s="14"/>
      <c r="B57" s="14"/>
    </row>
    <row r="58" ht="15.75" customHeight="1">
      <c r="A58" s="14"/>
      <c r="B58" s="14"/>
    </row>
    <row r="59" ht="15.75" customHeight="1">
      <c r="A59" s="14"/>
      <c r="B59" s="14"/>
    </row>
    <row r="60" ht="15.75" customHeight="1">
      <c r="A60" s="14"/>
      <c r="B60" s="14"/>
    </row>
    <row r="61" ht="15.75" customHeight="1">
      <c r="A61" s="14"/>
      <c r="B61" s="14"/>
    </row>
    <row r="62" ht="15.75" customHeight="1">
      <c r="A62" s="14"/>
      <c r="B62" s="14"/>
    </row>
    <row r="63" ht="15.75" customHeight="1">
      <c r="A63" s="14"/>
      <c r="B63" s="14"/>
    </row>
    <row r="64" ht="15.75" customHeight="1">
      <c r="A64" s="14"/>
      <c r="B64" s="14"/>
    </row>
    <row r="65" ht="15.75" customHeight="1">
      <c r="A65" s="14"/>
      <c r="B65" s="14"/>
    </row>
    <row r="66" ht="15.75" customHeight="1">
      <c r="A66" s="14"/>
      <c r="B66" s="14"/>
    </row>
    <row r="67" ht="15.75" customHeight="1">
      <c r="A67" s="14"/>
      <c r="B67" s="14"/>
    </row>
    <row r="68" ht="15.75" customHeight="1">
      <c r="A68" s="14"/>
      <c r="B68" s="14"/>
    </row>
    <row r="69" ht="15.75" customHeight="1">
      <c r="A69" s="14"/>
      <c r="B69" s="14"/>
    </row>
    <row r="70" ht="15.75" customHeight="1">
      <c r="A70" s="14"/>
      <c r="B70" s="14"/>
    </row>
    <row r="71" ht="15.75" customHeight="1">
      <c r="A71" s="14"/>
      <c r="B71" s="14"/>
    </row>
    <row r="72" ht="15.75" customHeight="1">
      <c r="A72" s="14"/>
      <c r="B72" s="14"/>
    </row>
    <row r="73" ht="15.75" customHeight="1">
      <c r="A73" s="14"/>
      <c r="B73" s="14"/>
    </row>
    <row r="74" ht="15.75" customHeight="1">
      <c r="A74" s="14"/>
      <c r="B74" s="14"/>
    </row>
    <row r="75" ht="15.75" customHeight="1">
      <c r="A75" s="14"/>
      <c r="B75" s="14"/>
    </row>
    <row r="76" ht="15.75" customHeight="1">
      <c r="A76" s="14"/>
      <c r="B76" s="14"/>
    </row>
    <row r="77" ht="15.75" customHeight="1">
      <c r="A77" s="14"/>
      <c r="B77" s="14"/>
    </row>
    <row r="78" ht="15.75" customHeight="1">
      <c r="A78" s="14"/>
      <c r="B78" s="14"/>
    </row>
    <row r="79" ht="15.75" customHeight="1">
      <c r="A79" s="14"/>
      <c r="B79" s="14"/>
    </row>
    <row r="80" ht="15.75" customHeight="1">
      <c r="A80" s="14"/>
      <c r="B80" s="14"/>
    </row>
    <row r="81" ht="15.75" customHeight="1">
      <c r="A81" s="14"/>
      <c r="B81" s="14"/>
    </row>
    <row r="82" ht="15.75" customHeight="1">
      <c r="A82" s="14"/>
      <c r="B82" s="14"/>
    </row>
    <row r="83" ht="15.75" customHeight="1">
      <c r="A83" s="14"/>
      <c r="B83" s="14"/>
    </row>
    <row r="84" ht="15.75" customHeight="1">
      <c r="A84" s="14"/>
      <c r="B84" s="14"/>
    </row>
    <row r="85" ht="15.75" customHeight="1">
      <c r="A85" s="14"/>
      <c r="B85" s="14"/>
    </row>
    <row r="86" ht="15.75" customHeight="1">
      <c r="A86" s="14"/>
      <c r="B86" s="14"/>
    </row>
    <row r="87" ht="15.75" customHeight="1">
      <c r="A87" s="14"/>
      <c r="B87" s="14"/>
    </row>
    <row r="88" ht="15.75" customHeight="1">
      <c r="A88" s="14"/>
      <c r="B88" s="14"/>
    </row>
    <row r="89" ht="15.75" customHeight="1">
      <c r="A89" s="14"/>
      <c r="B89" s="14"/>
    </row>
    <row r="90" ht="15.75" customHeight="1">
      <c r="A90" s="14"/>
      <c r="B90" s="14"/>
    </row>
    <row r="91" ht="15.75" customHeight="1">
      <c r="A91" s="14"/>
      <c r="B91" s="14"/>
    </row>
    <row r="92" ht="15.75" customHeight="1">
      <c r="A92" s="14"/>
      <c r="B92" s="14"/>
    </row>
    <row r="93" ht="15.75" customHeight="1">
      <c r="A93" s="14"/>
      <c r="B93" s="14"/>
    </row>
    <row r="94" ht="15.75" customHeight="1">
      <c r="A94" s="14"/>
      <c r="B94" s="14"/>
    </row>
    <row r="95" ht="15.75" customHeight="1">
      <c r="A95" s="14"/>
      <c r="B95" s="14"/>
    </row>
    <row r="96" ht="15.75" customHeight="1">
      <c r="A96" s="14"/>
      <c r="B96" s="14"/>
    </row>
    <row r="97" ht="15.75" customHeight="1">
      <c r="A97" s="14"/>
      <c r="B97" s="14"/>
    </row>
    <row r="98" ht="15.75" customHeight="1">
      <c r="A98" s="14"/>
      <c r="B98" s="14"/>
    </row>
    <row r="99" ht="15.75" customHeight="1">
      <c r="A99" s="14"/>
      <c r="B99" s="14"/>
    </row>
    <row r="100" ht="15.75" customHeight="1">
      <c r="A100" s="14"/>
      <c r="B100" s="14"/>
    </row>
    <row r="101" ht="15.75" customHeight="1">
      <c r="A101" s="14"/>
      <c r="B101" s="14"/>
    </row>
    <row r="102" ht="15.75" customHeight="1">
      <c r="A102" s="14"/>
      <c r="B102" s="14"/>
    </row>
    <row r="103" ht="15.75" customHeight="1">
      <c r="A103" s="14"/>
      <c r="B103" s="14"/>
    </row>
    <row r="104" ht="15.75" customHeight="1">
      <c r="A104" s="14"/>
      <c r="B104" s="14"/>
    </row>
    <row r="105" ht="15.75" customHeight="1">
      <c r="A105" s="14"/>
      <c r="B105" s="14"/>
    </row>
    <row r="106" ht="15.75" customHeight="1">
      <c r="A106" s="14"/>
      <c r="B106" s="14"/>
    </row>
    <row r="107" ht="15.75" customHeight="1">
      <c r="A107" s="14"/>
      <c r="B107" s="14"/>
    </row>
    <row r="108" ht="15.75" customHeight="1">
      <c r="A108" s="14"/>
      <c r="B108" s="14"/>
    </row>
    <row r="109" ht="15.75" customHeight="1">
      <c r="A109" s="14"/>
      <c r="B109" s="14"/>
    </row>
    <row r="110" ht="15.75" customHeight="1">
      <c r="A110" s="14"/>
      <c r="B110" s="14"/>
    </row>
    <row r="111" ht="15.75" customHeight="1">
      <c r="A111" s="14"/>
      <c r="B111" s="14"/>
    </row>
    <row r="112" ht="15.75" customHeight="1">
      <c r="A112" s="14"/>
      <c r="B112" s="14"/>
    </row>
    <row r="113" ht="15.75" customHeight="1">
      <c r="A113" s="14"/>
      <c r="B113" s="14"/>
    </row>
    <row r="114" ht="15.75" customHeight="1">
      <c r="A114" s="14"/>
      <c r="B114" s="14"/>
    </row>
    <row r="115" ht="15.75" customHeight="1">
      <c r="A115" s="14"/>
      <c r="B115" s="14"/>
    </row>
    <row r="116" ht="15.75" customHeight="1">
      <c r="A116" s="14"/>
      <c r="B116" s="14"/>
    </row>
    <row r="117" ht="15.75" customHeight="1">
      <c r="A117" s="14"/>
      <c r="B117" s="14"/>
    </row>
    <row r="118" ht="15.75" customHeight="1">
      <c r="A118" s="14"/>
      <c r="B118" s="14"/>
    </row>
    <row r="119" ht="15.75" customHeight="1">
      <c r="A119" s="14"/>
      <c r="B119" s="14"/>
    </row>
    <row r="120" ht="15.75" customHeight="1">
      <c r="A120" s="14"/>
      <c r="B120" s="14"/>
    </row>
    <row r="121" ht="15.75" customHeight="1">
      <c r="A121" s="14"/>
      <c r="B121" s="14"/>
    </row>
    <row r="122" ht="15.75" customHeight="1">
      <c r="A122" s="14"/>
      <c r="B122" s="14"/>
    </row>
    <row r="123" ht="15.75" customHeight="1">
      <c r="A123" s="14"/>
      <c r="B123" s="14"/>
    </row>
    <row r="124" ht="15.75" customHeight="1">
      <c r="A124" s="14"/>
      <c r="B124" s="14"/>
    </row>
    <row r="125" ht="15.75" customHeight="1">
      <c r="A125" s="14"/>
      <c r="B125" s="14"/>
    </row>
    <row r="126" ht="15.75" customHeight="1">
      <c r="A126" s="14"/>
      <c r="B126" s="14"/>
    </row>
    <row r="127" ht="15.75" customHeight="1">
      <c r="A127" s="14"/>
      <c r="B127" s="14"/>
    </row>
    <row r="128" ht="15.75" customHeight="1">
      <c r="A128" s="14"/>
      <c r="B128" s="14"/>
    </row>
    <row r="129" ht="15.75" customHeight="1">
      <c r="A129" s="14"/>
      <c r="B129" s="14"/>
    </row>
    <row r="130" ht="15.75" customHeight="1">
      <c r="A130" s="14"/>
      <c r="B130" s="14"/>
    </row>
    <row r="131" ht="15.75" customHeight="1">
      <c r="A131" s="14"/>
      <c r="B131" s="14"/>
    </row>
    <row r="132" ht="15.75" customHeight="1">
      <c r="A132" s="14"/>
      <c r="B132" s="14"/>
    </row>
    <row r="133" ht="15.75" customHeight="1">
      <c r="A133" s="14"/>
      <c r="B133" s="14"/>
    </row>
    <row r="134" ht="15.75" customHeight="1">
      <c r="A134" s="14"/>
      <c r="B134" s="14"/>
    </row>
    <row r="135" ht="15.75" customHeight="1">
      <c r="A135" s="14"/>
      <c r="B135" s="14"/>
    </row>
    <row r="136" ht="15.75" customHeight="1">
      <c r="A136" s="14"/>
      <c r="B136" s="14"/>
    </row>
    <row r="137" ht="15.75" customHeight="1">
      <c r="A137" s="14"/>
      <c r="B137" s="14"/>
    </row>
    <row r="138" ht="15.75" customHeight="1">
      <c r="A138" s="14"/>
      <c r="B138" s="14"/>
    </row>
    <row r="139" ht="15.75" customHeight="1">
      <c r="A139" s="14"/>
      <c r="B139" s="14"/>
    </row>
    <row r="140" ht="15.75" customHeight="1">
      <c r="A140" s="14"/>
      <c r="B140" s="14"/>
    </row>
    <row r="141" ht="15.75" customHeight="1">
      <c r="A141" s="14"/>
      <c r="B141" s="14"/>
    </row>
    <row r="142" ht="15.75" customHeight="1">
      <c r="A142" s="14"/>
      <c r="B142" s="14"/>
    </row>
    <row r="143" ht="15.75" customHeight="1">
      <c r="A143" s="14"/>
      <c r="B143" s="14"/>
    </row>
    <row r="144" ht="15.75" customHeight="1">
      <c r="A144" s="14"/>
      <c r="B144" s="14"/>
    </row>
    <row r="145" ht="15.75" customHeight="1">
      <c r="A145" s="14"/>
      <c r="B145" s="14"/>
    </row>
    <row r="146" ht="15.75" customHeight="1">
      <c r="A146" s="14"/>
      <c r="B146" s="14"/>
    </row>
    <row r="147" ht="15.75" customHeight="1">
      <c r="A147" s="14"/>
      <c r="B147" s="14"/>
    </row>
    <row r="148" ht="15.75" customHeight="1">
      <c r="A148" s="14"/>
      <c r="B148" s="14"/>
    </row>
    <row r="149" ht="15.75" customHeight="1">
      <c r="A149" s="14"/>
      <c r="B149" s="14"/>
    </row>
    <row r="150" ht="15.75" customHeight="1">
      <c r="A150" s="14"/>
      <c r="B150" s="14"/>
    </row>
    <row r="151" ht="15.75" customHeight="1">
      <c r="A151" s="14"/>
      <c r="B151" s="14"/>
    </row>
    <row r="152" ht="15.75" customHeight="1">
      <c r="A152" s="14"/>
      <c r="B152" s="14"/>
    </row>
    <row r="153" ht="15.75" customHeight="1">
      <c r="A153" s="14"/>
      <c r="B153" s="14"/>
    </row>
    <row r="154" ht="15.75" customHeight="1">
      <c r="A154" s="14"/>
      <c r="B154" s="14"/>
    </row>
    <row r="155" ht="15.75" customHeight="1">
      <c r="A155" s="14"/>
      <c r="B155" s="14"/>
    </row>
    <row r="156" ht="15.75" customHeight="1">
      <c r="A156" s="14"/>
      <c r="B156" s="14"/>
    </row>
    <row r="157" ht="15.75" customHeight="1">
      <c r="A157" s="14"/>
      <c r="B157" s="14"/>
    </row>
    <row r="158" ht="15.75" customHeight="1">
      <c r="A158" s="14"/>
      <c r="B158" s="14"/>
    </row>
    <row r="159" ht="15.75" customHeight="1">
      <c r="A159" s="14"/>
      <c r="B159" s="14"/>
    </row>
    <row r="160" ht="15.75" customHeight="1">
      <c r="A160" s="14"/>
      <c r="B160" s="14"/>
    </row>
    <row r="161" ht="15.75" customHeight="1">
      <c r="A161" s="14"/>
      <c r="B161" s="14"/>
    </row>
    <row r="162" ht="15.75" customHeight="1">
      <c r="A162" s="14"/>
      <c r="B162" s="14"/>
    </row>
    <row r="163" ht="15.75" customHeight="1">
      <c r="A163" s="14"/>
      <c r="B163" s="14"/>
    </row>
    <row r="164" ht="15.75" customHeight="1">
      <c r="A164" s="14"/>
      <c r="B164" s="14"/>
    </row>
    <row r="165" ht="15.75" customHeight="1">
      <c r="A165" s="14"/>
      <c r="B165" s="14"/>
    </row>
    <row r="166" ht="15.75" customHeight="1">
      <c r="A166" s="14"/>
      <c r="B166" s="14"/>
    </row>
    <row r="167" ht="15.75" customHeight="1">
      <c r="A167" s="14"/>
      <c r="B167" s="14"/>
    </row>
    <row r="168" ht="15.75" customHeight="1">
      <c r="A168" s="14"/>
      <c r="B168" s="14"/>
    </row>
    <row r="169" ht="15.75" customHeight="1">
      <c r="A169" s="14"/>
      <c r="B169" s="14"/>
    </row>
    <row r="170" ht="15.75" customHeight="1">
      <c r="A170" s="14"/>
      <c r="B170" s="14"/>
    </row>
    <row r="171" ht="15.75" customHeight="1">
      <c r="A171" s="14"/>
      <c r="B171" s="14"/>
    </row>
    <row r="172" ht="15.75" customHeight="1">
      <c r="A172" s="14"/>
      <c r="B172" s="14"/>
    </row>
    <row r="173" ht="15.75" customHeight="1">
      <c r="A173" s="14"/>
      <c r="B173" s="14"/>
    </row>
    <row r="174" ht="15.75" customHeight="1">
      <c r="A174" s="14"/>
      <c r="B174" s="14"/>
    </row>
    <row r="175" ht="15.75" customHeight="1">
      <c r="A175" s="14"/>
      <c r="B175" s="14"/>
    </row>
    <row r="176" ht="15.75" customHeight="1">
      <c r="A176" s="14"/>
      <c r="B176" s="14"/>
    </row>
    <row r="177" ht="15.75" customHeight="1">
      <c r="A177" s="14"/>
      <c r="B177" s="14"/>
    </row>
    <row r="178" ht="15.75" customHeight="1">
      <c r="A178" s="14"/>
      <c r="B178" s="14"/>
    </row>
    <row r="179" ht="15.75" customHeight="1">
      <c r="A179" s="14"/>
      <c r="B179" s="14"/>
    </row>
    <row r="180" ht="15.75" customHeight="1">
      <c r="A180" s="14"/>
      <c r="B180" s="14"/>
    </row>
    <row r="181" ht="15.75" customHeight="1">
      <c r="A181" s="14"/>
      <c r="B181" s="14"/>
    </row>
    <row r="182" ht="15.75" customHeight="1">
      <c r="A182" s="14"/>
      <c r="B182" s="14"/>
    </row>
    <row r="183" ht="15.75" customHeight="1">
      <c r="A183" s="14"/>
      <c r="B183" s="14"/>
    </row>
    <row r="184" ht="15.75" customHeight="1">
      <c r="A184" s="14"/>
      <c r="B184" s="14"/>
    </row>
    <row r="185" ht="15.75" customHeight="1">
      <c r="A185" s="14"/>
      <c r="B185" s="14"/>
    </row>
    <row r="186" ht="15.75" customHeight="1">
      <c r="A186" s="14"/>
      <c r="B186" s="14"/>
    </row>
    <row r="187" ht="15.75" customHeight="1">
      <c r="A187" s="14"/>
      <c r="B187" s="14"/>
    </row>
    <row r="188" ht="15.75" customHeight="1">
      <c r="A188" s="14"/>
      <c r="B188" s="14"/>
    </row>
    <row r="189" ht="15.75" customHeight="1">
      <c r="A189" s="14"/>
      <c r="B189" s="14"/>
    </row>
    <row r="190" ht="15.75" customHeight="1">
      <c r="A190" s="14"/>
      <c r="B190" s="14"/>
    </row>
    <row r="191" ht="15.75" customHeight="1">
      <c r="A191" s="14"/>
      <c r="B191" s="14"/>
    </row>
    <row r="192" ht="15.75" customHeight="1">
      <c r="A192" s="14"/>
      <c r="B192" s="14"/>
    </row>
    <row r="193" ht="15.75" customHeight="1">
      <c r="A193" s="14"/>
      <c r="B193" s="14"/>
    </row>
    <row r="194" ht="15.75" customHeight="1">
      <c r="A194" s="14"/>
      <c r="B194" s="14"/>
    </row>
    <row r="195" ht="15.75" customHeight="1">
      <c r="A195" s="14"/>
      <c r="B195" s="14"/>
    </row>
    <row r="196" ht="15.75" customHeight="1">
      <c r="A196" s="14"/>
      <c r="B196" s="14"/>
    </row>
    <row r="197" ht="15.75" customHeight="1">
      <c r="A197" s="14"/>
      <c r="B197" s="14"/>
    </row>
    <row r="198" ht="15.75" customHeight="1">
      <c r="A198" s="14"/>
      <c r="B198" s="14"/>
    </row>
    <row r="199" ht="15.75" customHeight="1">
      <c r="A199" s="14"/>
      <c r="B199" s="14"/>
    </row>
    <row r="200" ht="15.75" customHeight="1">
      <c r="A200" s="14"/>
      <c r="B200" s="14"/>
    </row>
    <row r="201" ht="15.75" customHeight="1">
      <c r="A201" s="14"/>
      <c r="B201" s="14"/>
    </row>
    <row r="202" ht="15.75" customHeight="1">
      <c r="A202" s="14"/>
      <c r="B202" s="14"/>
    </row>
    <row r="203" ht="15.75" customHeight="1">
      <c r="A203" s="14"/>
      <c r="B203" s="14"/>
    </row>
    <row r="204" ht="15.75" customHeight="1">
      <c r="A204" s="14"/>
      <c r="B204" s="14"/>
    </row>
    <row r="205" ht="15.75" customHeight="1">
      <c r="A205" s="14"/>
      <c r="B205" s="14"/>
    </row>
    <row r="206" ht="15.75" customHeight="1">
      <c r="A206" s="14"/>
      <c r="B206" s="14"/>
    </row>
    <row r="207" ht="15.75" customHeight="1">
      <c r="A207" s="14"/>
      <c r="B207" s="14"/>
    </row>
    <row r="208" ht="15.75" customHeight="1">
      <c r="A208" s="14"/>
      <c r="B208" s="14"/>
    </row>
    <row r="209" ht="15.75" customHeight="1">
      <c r="A209" s="14"/>
      <c r="B209" s="14"/>
    </row>
    <row r="210" ht="15.75" customHeight="1">
      <c r="A210" s="14"/>
      <c r="B210" s="14"/>
    </row>
    <row r="211" ht="15.75" customHeight="1">
      <c r="A211" s="14"/>
      <c r="B211" s="14"/>
    </row>
    <row r="212" ht="15.75" customHeight="1">
      <c r="A212" s="14"/>
      <c r="B212" s="14"/>
    </row>
    <row r="213" ht="15.75" customHeight="1">
      <c r="A213" s="14"/>
      <c r="B213" s="14"/>
    </row>
    <row r="214" ht="15.75" customHeight="1">
      <c r="A214" s="14"/>
      <c r="B214" s="14"/>
    </row>
    <row r="215" ht="15.75" customHeight="1">
      <c r="A215" s="14"/>
      <c r="B215" s="14"/>
    </row>
    <row r="216" ht="15.75" customHeight="1">
      <c r="A216" s="14"/>
      <c r="B216" s="14"/>
    </row>
    <row r="217" ht="15.75" customHeight="1">
      <c r="A217" s="14"/>
      <c r="B217" s="14"/>
    </row>
    <row r="218" ht="15.75" customHeight="1">
      <c r="A218" s="14"/>
      <c r="B218" s="14"/>
    </row>
    <row r="219" ht="15.75" customHeight="1">
      <c r="A219" s="14"/>
      <c r="B219" s="14"/>
    </row>
    <row r="220" ht="15.75" customHeight="1">
      <c r="A220" s="14"/>
      <c r="B220" s="14"/>
    </row>
    <row r="221" ht="15.75" customHeight="1">
      <c r="A221" s="14"/>
      <c r="B221" s="14"/>
    </row>
    <row r="222" ht="15.75" customHeight="1">
      <c r="A222" s="14"/>
      <c r="B222" s="14"/>
    </row>
    <row r="223" ht="15.75" customHeight="1">
      <c r="A223" s="14"/>
      <c r="B223" s="14"/>
    </row>
    <row r="224" ht="15.75" customHeight="1">
      <c r="A224" s="14"/>
      <c r="B224" s="14"/>
    </row>
    <row r="225" ht="15.75" customHeight="1">
      <c r="A225" s="14"/>
      <c r="B225" s="14"/>
    </row>
    <row r="226" ht="15.75" customHeight="1">
      <c r="A226" s="14"/>
      <c r="B226" s="14"/>
    </row>
    <row r="227" ht="15.75" customHeight="1">
      <c r="A227" s="14"/>
      <c r="B227" s="14"/>
    </row>
    <row r="228" ht="15.75" customHeight="1">
      <c r="A228" s="14"/>
      <c r="B228" s="14"/>
    </row>
    <row r="229" ht="15.75" customHeight="1">
      <c r="A229" s="14"/>
      <c r="B229" s="14"/>
    </row>
    <row r="230" ht="15.75" customHeight="1">
      <c r="A230" s="14"/>
      <c r="B230" s="14"/>
    </row>
    <row r="231" ht="15.75" customHeight="1">
      <c r="A231" s="14"/>
      <c r="B231" s="14"/>
    </row>
    <row r="232" ht="15.75" customHeight="1">
      <c r="A232" s="14"/>
      <c r="B232" s="14"/>
    </row>
    <row r="233" ht="15.75" customHeight="1">
      <c r="A233" s="14"/>
      <c r="B233" s="14"/>
    </row>
    <row r="234" ht="15.75" customHeight="1">
      <c r="A234" s="14"/>
      <c r="B234" s="14"/>
    </row>
    <row r="235" ht="15.75" customHeight="1">
      <c r="A235" s="14"/>
      <c r="B235" s="14"/>
    </row>
    <row r="236" ht="15.75" customHeight="1">
      <c r="A236" s="14"/>
      <c r="B236" s="14"/>
    </row>
    <row r="237" ht="15.75" customHeight="1">
      <c r="A237" s="14"/>
      <c r="B237" s="14"/>
    </row>
    <row r="238" ht="15.75" customHeight="1">
      <c r="A238" s="14"/>
      <c r="B238" s="14"/>
    </row>
    <row r="239" ht="15.75" customHeight="1">
      <c r="A239" s="14"/>
      <c r="B239" s="14"/>
    </row>
    <row r="240" ht="15.75" customHeight="1">
      <c r="A240" s="14"/>
      <c r="B240" s="14"/>
    </row>
    <row r="241" ht="15.75" customHeight="1">
      <c r="A241" s="14"/>
      <c r="B241" s="14"/>
    </row>
    <row r="242" ht="15.75" customHeight="1">
      <c r="A242" s="14"/>
      <c r="B242" s="14"/>
    </row>
    <row r="243" ht="15.75" customHeight="1">
      <c r="A243" s="14"/>
      <c r="B243" s="14"/>
    </row>
    <row r="244" ht="15.75" customHeight="1">
      <c r="A244" s="14"/>
      <c r="B244" s="14"/>
    </row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autoFilter ref="$A$1:$B$44"/>
  <printOptions/>
  <pageMargins bottom="0.787401575" footer="0.0" header="0.0" left="0.7" right="0.7" top="0.7874015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0.5"/>
    <col customWidth="1" min="2" max="2" width="34.0"/>
    <col customWidth="1" min="3" max="3" width="28.88"/>
    <col customWidth="1" min="4" max="29" width="11.25"/>
  </cols>
  <sheetData>
    <row r="1" ht="15.75" customHeight="1">
      <c r="A1" s="606"/>
      <c r="B1" s="607"/>
      <c r="C1" s="607"/>
      <c r="D1" s="608"/>
      <c r="E1" s="609" t="s">
        <v>743</v>
      </c>
      <c r="F1" s="609" t="s">
        <v>744</v>
      </c>
      <c r="G1" s="609" t="s">
        <v>745</v>
      </c>
      <c r="H1" s="609" t="s">
        <v>746</v>
      </c>
      <c r="I1" s="609" t="s">
        <v>747</v>
      </c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</row>
    <row r="2" ht="15.75" customHeight="1">
      <c r="A2" s="611" t="s">
        <v>748</v>
      </c>
      <c r="B2" s="612"/>
      <c r="C2" s="613" t="s">
        <v>152</v>
      </c>
      <c r="D2" s="614" t="s">
        <v>87</v>
      </c>
      <c r="E2" s="615" t="s">
        <v>749</v>
      </c>
      <c r="F2" s="613" t="s">
        <v>750</v>
      </c>
      <c r="G2" s="613" t="s">
        <v>751</v>
      </c>
      <c r="H2" s="616" t="s">
        <v>752</v>
      </c>
      <c r="I2" s="614" t="s">
        <v>753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ht="15.75" customHeight="1">
      <c r="A3" s="617"/>
      <c r="B3" s="618"/>
      <c r="C3" s="618"/>
      <c r="D3" s="619"/>
      <c r="E3" s="618"/>
      <c r="F3" s="618"/>
      <c r="G3" s="618"/>
      <c r="H3" s="620"/>
      <c r="I3" s="619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ht="15.75" customHeight="1">
      <c r="A4" s="621" t="str">
        <f>HYPERLINK("https://sci-hub.tw/https://doi.org/10.1136/bmj.i2156","review - Aune (2016)")</f>
        <v>review - Aune (2016)</v>
      </c>
      <c r="B4" s="622"/>
      <c r="C4" s="495"/>
      <c r="D4" s="623" t="s">
        <v>754</v>
      </c>
      <c r="E4" s="495">
        <v>1.0</v>
      </c>
      <c r="F4" s="204">
        <v>1.175</v>
      </c>
      <c r="G4" s="204">
        <v>1.44</v>
      </c>
      <c r="H4" s="17">
        <v>2.0</v>
      </c>
      <c r="I4" s="624">
        <v>2.93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ht="15.75" customHeight="1">
      <c r="A5" s="625" t="str">
        <f>HYPERLINK("https://www.ncbi.nlm.nih.gov/pmc/articles/PMC2770228/","review - Lenz (2009)")</f>
        <v>review - Lenz (2009)</v>
      </c>
      <c r="B5" s="426"/>
      <c r="C5" s="495"/>
      <c r="D5" s="623" t="s">
        <v>206</v>
      </c>
      <c r="E5" s="495">
        <v>1.0</v>
      </c>
      <c r="F5" s="204">
        <v>0.97</v>
      </c>
      <c r="G5" s="204">
        <v>1.17</v>
      </c>
      <c r="H5" s="203">
        <v>1.65</v>
      </c>
      <c r="I5" s="7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ht="15.75" customHeight="1">
      <c r="A6" s="626"/>
      <c r="B6" s="73"/>
      <c r="C6" s="495"/>
      <c r="D6" s="623" t="s">
        <v>210</v>
      </c>
      <c r="E6" s="495">
        <v>1.0</v>
      </c>
      <c r="F6" s="204">
        <v>0.97</v>
      </c>
      <c r="G6" s="204">
        <v>1.24</v>
      </c>
      <c r="H6" s="203">
        <v>1.94</v>
      </c>
      <c r="I6" s="7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ht="15.75" customHeight="1">
      <c r="A7" s="627"/>
      <c r="B7" s="622"/>
      <c r="C7" s="495"/>
      <c r="D7" s="623"/>
      <c r="E7" s="495"/>
      <c r="F7" s="202"/>
      <c r="G7" s="201"/>
      <c r="H7" s="289"/>
      <c r="I7" s="73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ht="15.75" hidden="1" customHeight="1">
      <c r="A8" s="611"/>
      <c r="B8" s="79"/>
      <c r="C8" s="79"/>
      <c r="D8" s="628"/>
      <c r="E8" s="79"/>
      <c r="F8" s="79"/>
      <c r="G8" s="79"/>
      <c r="H8" s="79"/>
      <c r="I8" s="79"/>
      <c r="O8" s="79"/>
      <c r="P8" s="79"/>
      <c r="Q8" s="79"/>
      <c r="R8" s="79"/>
      <c r="S8" s="79"/>
      <c r="T8" s="79"/>
      <c r="U8" s="79"/>
      <c r="V8" s="79"/>
      <c r="W8" s="79"/>
    </row>
    <row r="9" ht="15.75" hidden="1" customHeight="1">
      <c r="A9" s="611"/>
      <c r="B9" s="79"/>
      <c r="C9" s="79"/>
      <c r="D9" s="628"/>
      <c r="E9" s="629">
        <v>1.0</v>
      </c>
      <c r="F9" s="629">
        <v>1.175</v>
      </c>
      <c r="G9" s="629">
        <v>1.44</v>
      </c>
      <c r="H9" s="629">
        <v>2.0</v>
      </c>
      <c r="I9" s="629">
        <v>2.93</v>
      </c>
      <c r="O9" s="79"/>
      <c r="P9" s="79"/>
      <c r="Q9" s="79"/>
      <c r="R9" s="79"/>
      <c r="S9" s="79"/>
      <c r="T9" s="79"/>
      <c r="U9" s="79"/>
      <c r="V9" s="79"/>
      <c r="W9" s="79"/>
    </row>
    <row r="10" ht="15.75" hidden="1" customHeight="1">
      <c r="A10" s="611"/>
      <c r="B10" s="79"/>
      <c r="C10" s="79"/>
      <c r="D10" s="628"/>
      <c r="E10" s="629">
        <v>1.0</v>
      </c>
      <c r="F10" s="629">
        <v>0.97</v>
      </c>
      <c r="G10" s="629">
        <v>1.17</v>
      </c>
      <c r="H10" s="629">
        <v>1.65</v>
      </c>
      <c r="I10" s="629">
        <v>1.65</v>
      </c>
      <c r="O10" s="79"/>
      <c r="P10" s="79"/>
      <c r="Q10" s="79"/>
      <c r="R10" s="79"/>
      <c r="S10" s="79"/>
      <c r="T10" s="79"/>
      <c r="U10" s="79"/>
      <c r="V10" s="79"/>
      <c r="W10" s="79"/>
    </row>
    <row r="11" ht="15.75" hidden="1" customHeight="1">
      <c r="A11" s="611"/>
      <c r="B11" s="79"/>
      <c r="C11" s="79"/>
      <c r="D11" s="628"/>
      <c r="E11" s="629">
        <v>1.0</v>
      </c>
      <c r="F11" s="629">
        <v>0.97</v>
      </c>
      <c r="G11" s="629">
        <v>1.24</v>
      </c>
      <c r="H11" s="629">
        <v>1.94</v>
      </c>
      <c r="I11" s="629">
        <v>1.94</v>
      </c>
      <c r="O11" s="79"/>
      <c r="P11" s="79"/>
      <c r="Q11" s="79"/>
      <c r="R11" s="79"/>
      <c r="S11" s="79"/>
      <c r="T11" s="79"/>
      <c r="U11" s="79"/>
      <c r="V11" s="79"/>
      <c r="W11" s="79"/>
    </row>
    <row r="12" ht="15.75" hidden="1" customHeight="1">
      <c r="A12" s="611"/>
      <c r="B12" s="79"/>
      <c r="C12" s="79"/>
      <c r="D12" s="628" t="s">
        <v>755</v>
      </c>
      <c r="E12" s="629">
        <v>1.0</v>
      </c>
      <c r="F12" s="629">
        <f t="shared" ref="F12:I12" si="1">AVERAGE(F10:F11)</f>
        <v>0.97</v>
      </c>
      <c r="G12" s="629">
        <f t="shared" si="1"/>
        <v>1.205</v>
      </c>
      <c r="H12" s="629">
        <f t="shared" si="1"/>
        <v>1.795</v>
      </c>
      <c r="I12" s="629">
        <f t="shared" si="1"/>
        <v>1.795</v>
      </c>
      <c r="O12" s="79"/>
      <c r="P12" s="79"/>
      <c r="Q12" s="79"/>
      <c r="R12" s="79"/>
      <c r="S12" s="79"/>
      <c r="T12" s="79"/>
      <c r="U12" s="79"/>
      <c r="V12" s="79"/>
      <c r="W12" s="79"/>
    </row>
    <row r="13" ht="15.75" hidden="1" customHeight="1">
      <c r="A13" s="611"/>
      <c r="B13" s="79"/>
      <c r="C13" s="79"/>
      <c r="D13" s="628" t="s">
        <v>756</v>
      </c>
      <c r="E13" s="630">
        <v>1.0</v>
      </c>
      <c r="F13" s="630">
        <f t="shared" ref="F13:I13" si="2">(F12+F9)/2</f>
        <v>1.0725</v>
      </c>
      <c r="G13" s="630">
        <f t="shared" si="2"/>
        <v>1.3225</v>
      </c>
      <c r="H13" s="630">
        <f t="shared" si="2"/>
        <v>1.8975</v>
      </c>
      <c r="I13" s="630">
        <f t="shared" si="2"/>
        <v>2.3625</v>
      </c>
      <c r="O13" s="79"/>
      <c r="P13" s="79"/>
      <c r="Q13" s="79"/>
      <c r="R13" s="79"/>
      <c r="S13" s="79"/>
      <c r="T13" s="79"/>
      <c r="U13" s="79"/>
      <c r="V13" s="79"/>
      <c r="W13" s="79"/>
    </row>
    <row r="14" ht="15.75" hidden="1" customHeight="1">
      <c r="A14" s="611"/>
      <c r="B14" s="79"/>
      <c r="C14" s="79"/>
      <c r="D14" s="628"/>
      <c r="E14" s="629"/>
      <c r="F14" s="629"/>
      <c r="G14" s="629"/>
      <c r="H14" s="629"/>
      <c r="I14" s="629"/>
      <c r="O14" s="79"/>
      <c r="P14" s="79"/>
      <c r="Q14" s="79"/>
      <c r="R14" s="79"/>
      <c r="S14" s="79"/>
      <c r="T14" s="79"/>
      <c r="U14" s="79"/>
      <c r="V14" s="79"/>
      <c r="W14" s="79"/>
    </row>
    <row r="15" ht="15.75" hidden="1" customHeight="1">
      <c r="A15" s="611"/>
      <c r="B15" s="79"/>
      <c r="C15" s="79"/>
      <c r="D15" s="628"/>
      <c r="E15" s="630">
        <v>1.0</v>
      </c>
      <c r="F15" s="630">
        <f t="shared" ref="F15:I15" si="3">F10*(F$13/F$12)</f>
        <v>1.0725</v>
      </c>
      <c r="G15" s="630">
        <f t="shared" si="3"/>
        <v>1.284087137</v>
      </c>
      <c r="H15" s="630">
        <f t="shared" si="3"/>
        <v>1.744220056</v>
      </c>
      <c r="I15" s="630">
        <f t="shared" si="3"/>
        <v>2.171657382</v>
      </c>
      <c r="O15" s="79"/>
      <c r="P15" s="79"/>
      <c r="Q15" s="79"/>
      <c r="R15" s="79"/>
      <c r="S15" s="79"/>
      <c r="T15" s="79"/>
      <c r="U15" s="79"/>
      <c r="V15" s="79"/>
      <c r="W15" s="79"/>
    </row>
    <row r="16" ht="15.75" hidden="1" customHeight="1">
      <c r="A16" s="611"/>
      <c r="B16" s="79"/>
      <c r="C16" s="79"/>
      <c r="D16" s="628"/>
      <c r="E16" s="630">
        <v>1.0</v>
      </c>
      <c r="F16" s="630">
        <f t="shared" ref="F16:I16" si="4">F11*(F$13/F$12)</f>
        <v>1.0725</v>
      </c>
      <c r="G16" s="630">
        <f t="shared" si="4"/>
        <v>1.360912863</v>
      </c>
      <c r="H16" s="630">
        <f t="shared" si="4"/>
        <v>2.050779944</v>
      </c>
      <c r="I16" s="630">
        <f t="shared" si="4"/>
        <v>2.553342618</v>
      </c>
      <c r="O16" s="79"/>
      <c r="P16" s="79"/>
      <c r="Q16" s="79"/>
      <c r="R16" s="79"/>
      <c r="S16" s="79"/>
      <c r="T16" s="79"/>
      <c r="U16" s="79"/>
      <c r="V16" s="79"/>
      <c r="W16" s="79"/>
    </row>
    <row r="17" ht="15.75" hidden="1" customHeight="1">
      <c r="A17" s="611"/>
      <c r="B17" s="79"/>
      <c r="C17" s="79"/>
      <c r="D17" s="628"/>
      <c r="E17" s="631">
        <v>1.0</v>
      </c>
      <c r="F17" s="631">
        <f t="shared" ref="F17:I17" si="5">AVERAGE(F15:F16)</f>
        <v>1.0725</v>
      </c>
      <c r="G17" s="631">
        <f t="shared" si="5"/>
        <v>1.3225</v>
      </c>
      <c r="H17" s="631">
        <f t="shared" si="5"/>
        <v>1.8975</v>
      </c>
      <c r="I17" s="632">
        <f t="shared" si="5"/>
        <v>2.3625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ht="15.75" hidden="1" customHeight="1">
      <c r="A18" s="611"/>
      <c r="B18" s="79"/>
      <c r="C18" s="79"/>
      <c r="D18" s="62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ht="15.75" customHeight="1">
      <c r="A19" s="611"/>
      <c r="B19" s="79"/>
      <c r="C19" s="79"/>
      <c r="D19" s="628"/>
      <c r="E19" s="79"/>
      <c r="F19" s="79"/>
      <c r="G19" s="79"/>
      <c r="H19" s="79"/>
      <c r="I19" s="628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ht="15.75" customHeight="1">
      <c r="A20" s="611" t="s">
        <v>757</v>
      </c>
      <c r="B20" s="633" t="s">
        <v>83</v>
      </c>
      <c r="C20" s="633" t="s">
        <v>152</v>
      </c>
      <c r="D20" s="634" t="s">
        <v>87</v>
      </c>
      <c r="E20" s="615" t="s">
        <v>749</v>
      </c>
      <c r="F20" s="613" t="s">
        <v>750</v>
      </c>
      <c r="G20" s="613" t="s">
        <v>751</v>
      </c>
      <c r="H20" s="616" t="s">
        <v>752</v>
      </c>
      <c r="I20" s="614" t="s">
        <v>753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</row>
    <row r="21" ht="15.75" customHeight="1">
      <c r="A21" s="635"/>
      <c r="B21" s="618"/>
      <c r="C21" s="618"/>
      <c r="D21" s="619"/>
      <c r="E21" s="618"/>
      <c r="F21" s="618"/>
      <c r="G21" s="618"/>
      <c r="H21" s="620"/>
      <c r="I21" s="61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</row>
    <row r="22" ht="15.75" customHeight="1">
      <c r="A22" s="636" t="str">
        <f>HYPERLINK("https://www.ncbi.nlm.nih.gov/pubmed/16171161","Finkelstein et al. 2005")</f>
        <v>Finkelstein et al. 2005</v>
      </c>
      <c r="B22" s="637" t="s">
        <v>92</v>
      </c>
      <c r="C22" s="17" t="s">
        <v>758</v>
      </c>
      <c r="D22" s="638" t="s">
        <v>119</v>
      </c>
      <c r="E22" s="639">
        <v>1.0</v>
      </c>
      <c r="F22" s="640">
        <f t="shared" ref="F22:I22" si="6">F23/$E$23</f>
        <v>1.147058824</v>
      </c>
      <c r="G22" s="640">
        <f t="shared" si="6"/>
        <v>1.529411765</v>
      </c>
      <c r="H22" s="640">
        <f t="shared" si="6"/>
        <v>1.882352941</v>
      </c>
      <c r="I22" s="641">
        <f t="shared" si="6"/>
        <v>2.411764706</v>
      </c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ht="15.75" customHeight="1">
      <c r="A23" s="642"/>
      <c r="B23" s="643"/>
      <c r="C23" s="62" t="s">
        <v>165</v>
      </c>
      <c r="D23" s="626"/>
      <c r="E23" s="644">
        <v>3.4</v>
      </c>
      <c r="F23" s="62">
        <v>3.9</v>
      </c>
      <c r="G23" s="62">
        <v>5.2</v>
      </c>
      <c r="H23" s="62">
        <v>6.4</v>
      </c>
      <c r="I23" s="645">
        <v>8.2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</row>
    <row r="24" ht="15.75" customHeight="1">
      <c r="A24" s="642"/>
      <c r="B24" s="643"/>
      <c r="C24" s="17" t="s">
        <v>758</v>
      </c>
      <c r="D24" s="638" t="s">
        <v>122</v>
      </c>
      <c r="E24" s="639">
        <v>3.0</v>
      </c>
      <c r="F24" s="640">
        <f t="shared" ref="F24:I24" si="7">F25/$E$24</f>
        <v>1.166666667</v>
      </c>
      <c r="G24" s="640">
        <f t="shared" si="7"/>
        <v>1.166666667</v>
      </c>
      <c r="H24" s="640">
        <f t="shared" si="7"/>
        <v>1.666666667</v>
      </c>
      <c r="I24" s="641">
        <f t="shared" si="7"/>
        <v>1.666666667</v>
      </c>
    </row>
    <row r="25" ht="15.75" customHeight="1">
      <c r="A25" s="626"/>
      <c r="B25" s="73"/>
      <c r="C25" s="62" t="s">
        <v>165</v>
      </c>
      <c r="D25" s="626"/>
      <c r="E25" s="73"/>
      <c r="F25" s="62">
        <v>3.5</v>
      </c>
      <c r="G25" s="62">
        <v>3.5</v>
      </c>
      <c r="H25" s="62">
        <v>5.0</v>
      </c>
      <c r="I25" s="645">
        <v>5.0</v>
      </c>
    </row>
    <row r="26" ht="15.75" customHeight="1">
      <c r="A26" s="636" t="str">
        <f>HYPERLINK("https://www.ncbi.nlm.nih.gov/pubmed/24451611","Kleinman et al., 2014")</f>
        <v>Kleinman et al., 2014</v>
      </c>
      <c r="B26" s="637" t="s">
        <v>92</v>
      </c>
      <c r="C26" s="17" t="s">
        <v>758</v>
      </c>
      <c r="D26" s="646" t="s">
        <v>132</v>
      </c>
      <c r="E26" s="639">
        <v>5.58</v>
      </c>
      <c r="F26" s="17">
        <f t="shared" ref="F26:G26" si="8">F27/$E$26</f>
        <v>1.238351254</v>
      </c>
      <c r="G26" s="196">
        <f t="shared" si="8"/>
        <v>1.551971326</v>
      </c>
      <c r="H26" s="90"/>
      <c r="I26" s="10"/>
    </row>
    <row r="27" ht="15.75" customHeight="1">
      <c r="A27" s="642"/>
      <c r="B27" s="643"/>
      <c r="C27" s="62" t="s">
        <v>165</v>
      </c>
      <c r="D27" s="626"/>
      <c r="E27" s="73"/>
      <c r="F27" s="647">
        <v>6.91</v>
      </c>
      <c r="G27" s="648">
        <v>8.66</v>
      </c>
      <c r="H27" s="90"/>
      <c r="I27" s="10"/>
    </row>
    <row r="28" ht="15.75" customHeight="1">
      <c r="A28" s="642"/>
      <c r="B28" s="643"/>
      <c r="C28" s="17" t="s">
        <v>758</v>
      </c>
      <c r="D28" s="646" t="s">
        <v>133</v>
      </c>
      <c r="E28" s="537">
        <v>3.58</v>
      </c>
      <c r="F28" s="640">
        <f t="shared" ref="F28:G28" si="9">F29/$E$28</f>
        <v>1.287709497</v>
      </c>
      <c r="G28" s="649">
        <f t="shared" si="9"/>
        <v>1.941340782</v>
      </c>
      <c r="H28" s="90"/>
      <c r="I28" s="10"/>
    </row>
    <row r="29" ht="15.75" customHeight="1">
      <c r="A29" s="626"/>
      <c r="B29" s="73"/>
      <c r="C29" s="62" t="s">
        <v>165</v>
      </c>
      <c r="D29" s="626"/>
      <c r="E29" s="73"/>
      <c r="F29" s="62">
        <v>4.61</v>
      </c>
      <c r="G29" s="82">
        <v>6.95</v>
      </c>
      <c r="H29" s="90"/>
      <c r="I29" s="10"/>
    </row>
    <row r="30" ht="15.75" customHeight="1">
      <c r="A30" s="650" t="str">
        <f>HYPERLINK("https://sci-hub.tw/https://doi.org/10.5993/AJHB.27.4.17","Bungum (2003)")</f>
        <v>Bungum (2003)</v>
      </c>
      <c r="B30" s="651" t="s">
        <v>92</v>
      </c>
      <c r="C30" s="20" t="s">
        <v>759</v>
      </c>
      <c r="D30" s="652"/>
      <c r="E30" s="249">
        <v>27.21</v>
      </c>
      <c r="F30" s="17">
        <f>30.35/27.21</f>
        <v>1.11539875</v>
      </c>
      <c r="G30" s="196">
        <f>35.52/27.21</f>
        <v>1.305402426</v>
      </c>
      <c r="H30" s="90"/>
      <c r="I30" s="10"/>
    </row>
    <row r="31" ht="15.75" customHeight="1">
      <c r="A31" s="653" t="str">
        <f>HYPERLINK("https://sci-hub.tw/10.1097/JOM.0b013e31824b2133","Janssens (2012)")</f>
        <v>Janssens (2012)</v>
      </c>
      <c r="B31" s="637" t="s">
        <v>760</v>
      </c>
      <c r="C31" s="20" t="s">
        <v>761</v>
      </c>
      <c r="D31" s="652" t="s">
        <v>210</v>
      </c>
      <c r="E31" s="249">
        <v>1.0</v>
      </c>
      <c r="F31" s="17">
        <v>1.145</v>
      </c>
      <c r="G31" s="196">
        <v>1.4</v>
      </c>
      <c r="H31" s="90"/>
      <c r="I31" s="10"/>
    </row>
    <row r="32" ht="15.75" customHeight="1">
      <c r="A32" s="626"/>
      <c r="B32" s="73"/>
      <c r="C32" s="20" t="s">
        <v>761</v>
      </c>
      <c r="D32" s="652" t="s">
        <v>206</v>
      </c>
      <c r="E32" s="249">
        <v>1.0</v>
      </c>
      <c r="F32" s="17">
        <v>1.715</v>
      </c>
      <c r="G32" s="196">
        <v>1.71</v>
      </c>
      <c r="H32" s="90"/>
      <c r="I32" s="10"/>
    </row>
    <row r="33" ht="15.75" customHeight="1">
      <c r="A33" s="654" t="str">
        <f>HYPERLINK("https://sci-hub.tw/https://doi.org/10.1016/j.jegh.2014.08.001","Bustillos (2015)")</f>
        <v>Bustillos (2015)</v>
      </c>
      <c r="B33" s="651" t="s">
        <v>137</v>
      </c>
      <c r="C33" s="20" t="s">
        <v>762</v>
      </c>
      <c r="D33" s="652"/>
      <c r="E33" s="249">
        <v>1.0</v>
      </c>
      <c r="F33" s="17">
        <v>1.14</v>
      </c>
      <c r="G33" s="17">
        <v>1.1</v>
      </c>
      <c r="H33" s="17">
        <v>1.32</v>
      </c>
      <c r="I33" s="655">
        <v>1.6</v>
      </c>
    </row>
    <row r="34" ht="15.75" customHeight="1">
      <c r="A34" s="656"/>
      <c r="D34" s="657"/>
      <c r="F34" s="658"/>
      <c r="G34" s="658"/>
      <c r="H34" s="658"/>
      <c r="I34" s="659"/>
    </row>
    <row r="35" ht="15.75" customHeight="1">
      <c r="A35" s="656"/>
      <c r="B35" s="13" t="s">
        <v>763</v>
      </c>
      <c r="D35" s="657"/>
      <c r="E35" s="14"/>
      <c r="F35" s="658"/>
      <c r="G35" s="658"/>
      <c r="H35" s="658"/>
      <c r="I35" s="659"/>
    </row>
    <row r="36" ht="15.75" customHeight="1">
      <c r="A36" s="656"/>
      <c r="D36" s="657" t="s">
        <v>764</v>
      </c>
      <c r="E36" s="14">
        <v>1.0</v>
      </c>
      <c r="F36" s="658">
        <v>1.1470588235294117</v>
      </c>
      <c r="G36" s="658">
        <v>1.5294117647058825</v>
      </c>
      <c r="H36" s="658">
        <v>1.8823529411764708</v>
      </c>
      <c r="I36" s="659">
        <v>2.411764705882353</v>
      </c>
    </row>
    <row r="37" ht="15.75" customHeight="1">
      <c r="A37" s="656"/>
      <c r="D37" s="657" t="s">
        <v>765</v>
      </c>
      <c r="E37" s="14">
        <v>1.0</v>
      </c>
      <c r="F37" s="658">
        <v>1.1666666666666667</v>
      </c>
      <c r="G37" s="658">
        <v>1.1666666666666667</v>
      </c>
      <c r="H37" s="658">
        <v>1.6666666666666667</v>
      </c>
      <c r="I37" s="659">
        <v>1.6666666666666667</v>
      </c>
    </row>
    <row r="38" ht="15.75" customHeight="1">
      <c r="A38" s="656"/>
      <c r="B38" s="14" t="s">
        <v>766</v>
      </c>
      <c r="D38" s="623" t="s">
        <v>755</v>
      </c>
      <c r="E38" s="358">
        <v>1.0</v>
      </c>
      <c r="F38" s="660">
        <f t="shared" ref="F38:I38" si="10">AVERAGE(F36:F37)</f>
        <v>1.156862745</v>
      </c>
      <c r="G38" s="660">
        <f t="shared" si="10"/>
        <v>1.348039216</v>
      </c>
      <c r="H38" s="660">
        <f t="shared" si="10"/>
        <v>1.774509804</v>
      </c>
      <c r="I38" s="661">
        <f t="shared" si="10"/>
        <v>2.039215686</v>
      </c>
    </row>
    <row r="39" ht="15.75" customHeight="1">
      <c r="A39" s="656"/>
      <c r="D39" s="657" t="s">
        <v>764</v>
      </c>
      <c r="E39" s="14">
        <v>1.0</v>
      </c>
      <c r="F39" s="658">
        <v>1.2383512544802868</v>
      </c>
      <c r="G39" s="658">
        <v>1.5519713261648747</v>
      </c>
      <c r="H39" s="658">
        <v>1.5519713261648747</v>
      </c>
      <c r="I39" s="659">
        <v>1.5519713261648747</v>
      </c>
    </row>
    <row r="40" ht="15.75" customHeight="1">
      <c r="A40" s="656"/>
      <c r="D40" s="657" t="s">
        <v>765</v>
      </c>
      <c r="E40" s="14">
        <v>1.0</v>
      </c>
      <c r="F40" s="658">
        <v>1.287709497206704</v>
      </c>
      <c r="G40" s="658">
        <v>1.941340782122905</v>
      </c>
      <c r="H40" s="658">
        <v>1.941340782122905</v>
      </c>
      <c r="I40" s="659">
        <v>1.941340782122905</v>
      </c>
    </row>
    <row r="41" ht="15.75" customHeight="1">
      <c r="A41" s="656"/>
      <c r="B41" s="14" t="s">
        <v>766</v>
      </c>
      <c r="D41" s="623" t="s">
        <v>755</v>
      </c>
      <c r="E41" s="358">
        <v>1.0</v>
      </c>
      <c r="F41" s="660">
        <f t="shared" ref="F41:I41" si="11">AVERAGE(F39:F40)</f>
        <v>1.263030376</v>
      </c>
      <c r="G41" s="660">
        <f t="shared" si="11"/>
        <v>1.746656054</v>
      </c>
      <c r="H41" s="660">
        <f t="shared" si="11"/>
        <v>1.746656054</v>
      </c>
      <c r="I41" s="661">
        <f t="shared" si="11"/>
        <v>1.746656054</v>
      </c>
    </row>
    <row r="42" ht="15.75" customHeight="1">
      <c r="A42" s="656"/>
      <c r="D42" s="623" t="s">
        <v>767</v>
      </c>
      <c r="E42" s="358">
        <v>1.0</v>
      </c>
      <c r="F42" s="660">
        <v>1.1153987504593899</v>
      </c>
      <c r="G42" s="660">
        <v>1.3054024255788315</v>
      </c>
      <c r="H42" s="660">
        <v>1.3054024255788315</v>
      </c>
      <c r="I42" s="661">
        <v>1.3054024255788315</v>
      </c>
    </row>
    <row r="43" ht="15.75" customHeight="1">
      <c r="A43" s="656"/>
      <c r="D43" s="657" t="s">
        <v>764</v>
      </c>
      <c r="E43" s="14">
        <v>1.0</v>
      </c>
      <c r="F43" s="14">
        <v>1.145</v>
      </c>
      <c r="G43" s="14">
        <v>1.4</v>
      </c>
      <c r="H43" s="14">
        <v>1.4</v>
      </c>
      <c r="I43" s="657">
        <v>1.4</v>
      </c>
    </row>
    <row r="44" ht="15.75" customHeight="1">
      <c r="A44" s="656"/>
      <c r="D44" s="657" t="s">
        <v>765</v>
      </c>
      <c r="E44" s="14">
        <v>1.0</v>
      </c>
      <c r="F44" s="14">
        <v>1.715</v>
      </c>
      <c r="G44" s="14">
        <v>1.71</v>
      </c>
      <c r="H44" s="14">
        <v>1.71</v>
      </c>
      <c r="I44" s="657">
        <v>1.71</v>
      </c>
    </row>
    <row r="45" ht="15.75" customHeight="1">
      <c r="A45" s="656"/>
      <c r="B45" s="14" t="s">
        <v>766</v>
      </c>
      <c r="D45" s="623" t="s">
        <v>755</v>
      </c>
      <c r="E45" s="358">
        <v>1.0</v>
      </c>
      <c r="F45" s="660">
        <f t="shared" ref="F45:I45" si="12">AVERAGE(F43:F44)</f>
        <v>1.43</v>
      </c>
      <c r="G45" s="660">
        <f t="shared" si="12"/>
        <v>1.555</v>
      </c>
      <c r="H45" s="660">
        <f t="shared" si="12"/>
        <v>1.555</v>
      </c>
      <c r="I45" s="661">
        <f t="shared" si="12"/>
        <v>1.555</v>
      </c>
    </row>
    <row r="46" ht="15.75" customHeight="1">
      <c r="A46" s="656"/>
      <c r="D46" s="623" t="s">
        <v>767</v>
      </c>
      <c r="E46" s="358">
        <v>1.0</v>
      </c>
      <c r="F46" s="358">
        <v>1.14</v>
      </c>
      <c r="G46" s="358">
        <v>1.1</v>
      </c>
      <c r="H46" s="358">
        <v>1.32</v>
      </c>
      <c r="I46" s="623">
        <v>1.6</v>
      </c>
    </row>
    <row r="47" ht="15.75" customHeight="1">
      <c r="A47" s="656"/>
      <c r="D47" s="657"/>
      <c r="I47" s="657"/>
    </row>
    <row r="48" ht="15.75" customHeight="1">
      <c r="A48" s="656"/>
      <c r="B48" s="13" t="s">
        <v>768</v>
      </c>
      <c r="D48" s="657"/>
      <c r="I48" s="657"/>
    </row>
    <row r="49" ht="15.75" customHeight="1">
      <c r="A49" s="656"/>
      <c r="B49" s="14" t="s">
        <v>769</v>
      </c>
      <c r="D49" s="657" t="s">
        <v>764</v>
      </c>
      <c r="E49" s="14">
        <v>1.0</v>
      </c>
      <c r="F49" s="658">
        <f t="shared" ref="F49:I49" si="13">(F36+F39+F43)/3</f>
        <v>1.176803359</v>
      </c>
      <c r="G49" s="658">
        <f t="shared" si="13"/>
        <v>1.493794364</v>
      </c>
      <c r="H49" s="658">
        <f t="shared" si="13"/>
        <v>1.611441422</v>
      </c>
      <c r="I49" s="659">
        <f t="shared" si="13"/>
        <v>1.787912011</v>
      </c>
    </row>
    <row r="50" ht="15.75" customHeight="1">
      <c r="A50" s="656"/>
      <c r="B50" s="14" t="s">
        <v>769</v>
      </c>
      <c r="D50" s="657" t="s">
        <v>765</v>
      </c>
      <c r="E50" s="14">
        <v>1.0</v>
      </c>
      <c r="F50" s="658">
        <f t="shared" ref="F50:I50" si="14">(F37+F40+F44)/3</f>
        <v>1.389792055</v>
      </c>
      <c r="G50" s="658">
        <f t="shared" si="14"/>
        <v>1.606002483</v>
      </c>
      <c r="H50" s="658">
        <f t="shared" si="14"/>
        <v>1.77266915</v>
      </c>
      <c r="I50" s="659">
        <f t="shared" si="14"/>
        <v>1.77266915</v>
      </c>
    </row>
    <row r="51" ht="15.75" customHeight="1">
      <c r="A51" s="656"/>
      <c r="B51" s="14" t="s">
        <v>769</v>
      </c>
      <c r="D51" s="623" t="s">
        <v>755</v>
      </c>
      <c r="E51" s="358">
        <v>1.0</v>
      </c>
      <c r="F51" s="660">
        <f t="shared" ref="F51:I51" si="15">AVERAGE(F49:F50)</f>
        <v>1.283297707</v>
      </c>
      <c r="G51" s="660">
        <f t="shared" si="15"/>
        <v>1.549898423</v>
      </c>
      <c r="H51" s="660">
        <f t="shared" si="15"/>
        <v>1.692055286</v>
      </c>
      <c r="I51" s="661">
        <f t="shared" si="15"/>
        <v>1.78029058</v>
      </c>
    </row>
    <row r="52" ht="15.75" customHeight="1">
      <c r="A52" s="656"/>
      <c r="B52" s="14" t="s">
        <v>770</v>
      </c>
      <c r="D52" s="657" t="s">
        <v>767</v>
      </c>
      <c r="E52" s="145">
        <f t="shared" ref="E52:I52" si="16">(E38+E41+E42+E45+E46)/5</f>
        <v>1</v>
      </c>
      <c r="F52" s="658">
        <f t="shared" si="16"/>
        <v>1.221058374</v>
      </c>
      <c r="G52" s="658">
        <f t="shared" si="16"/>
        <v>1.411019539</v>
      </c>
      <c r="H52" s="658">
        <f t="shared" si="16"/>
        <v>1.540313657</v>
      </c>
      <c r="I52" s="659">
        <f t="shared" si="16"/>
        <v>1.649254833</v>
      </c>
    </row>
    <row r="53" ht="15.75" customHeight="1">
      <c r="A53" s="656"/>
    </row>
    <row r="54" ht="15.75" customHeight="1">
      <c r="A54" s="656"/>
      <c r="B54" s="13" t="s">
        <v>771</v>
      </c>
    </row>
    <row r="55" ht="15.75" customHeight="1">
      <c r="A55" s="656"/>
      <c r="B55" s="14" t="s">
        <v>772</v>
      </c>
      <c r="D55" s="662" t="s">
        <v>764</v>
      </c>
      <c r="E55" s="663">
        <v>1.0</v>
      </c>
      <c r="F55" s="664">
        <f t="shared" ref="F55:I55" si="17">F49*(F$52/F$51)</f>
        <v>1.119728952</v>
      </c>
      <c r="G55" s="664">
        <f t="shared" si="17"/>
        <v>1.359942692</v>
      </c>
      <c r="H55" s="664">
        <f t="shared" si="17"/>
        <v>1.466929154</v>
      </c>
      <c r="I55" s="664">
        <f t="shared" si="17"/>
        <v>1.656315299</v>
      </c>
    </row>
    <row r="56" ht="15.75" customHeight="1">
      <c r="A56" s="656"/>
      <c r="B56" s="14" t="s">
        <v>772</v>
      </c>
      <c r="D56" s="662" t="s">
        <v>765</v>
      </c>
      <c r="E56" s="663">
        <v>1.0</v>
      </c>
      <c r="F56" s="664">
        <f t="shared" ref="F56:I56" si="18">F50*(F$52/F$51)</f>
        <v>1.322387796</v>
      </c>
      <c r="G56" s="664">
        <f t="shared" si="18"/>
        <v>1.462096386</v>
      </c>
      <c r="H56" s="664">
        <f t="shared" si="18"/>
        <v>1.613698159</v>
      </c>
      <c r="I56" s="664">
        <f t="shared" si="18"/>
        <v>1.642194367</v>
      </c>
    </row>
    <row r="57" ht="15.75" customHeight="1">
      <c r="A57" s="656"/>
      <c r="B57" s="14" t="s">
        <v>773</v>
      </c>
      <c r="D57" s="665" t="s">
        <v>755</v>
      </c>
      <c r="E57" s="666">
        <v>1.0</v>
      </c>
      <c r="F57" s="667">
        <f t="shared" ref="F57:I57" si="19">AVERAGE(F55:F56)</f>
        <v>1.221058374</v>
      </c>
      <c r="G57" s="667">
        <f t="shared" si="19"/>
        <v>1.411019539</v>
      </c>
      <c r="H57" s="667">
        <f t="shared" si="19"/>
        <v>1.540313657</v>
      </c>
      <c r="I57" s="667">
        <f t="shared" si="19"/>
        <v>1.649254833</v>
      </c>
    </row>
    <row r="58" ht="15.75" customHeight="1">
      <c r="A58" s="656"/>
    </row>
    <row r="59" ht="15.75" customHeight="1">
      <c r="A59" s="656"/>
      <c r="I59" s="657"/>
    </row>
    <row r="60" ht="15.75" customHeight="1">
      <c r="A60" s="656"/>
      <c r="D60" s="657"/>
      <c r="I60" s="657"/>
    </row>
    <row r="61" ht="15.75" customHeight="1">
      <c r="A61" s="611" t="s">
        <v>774</v>
      </c>
      <c r="B61" s="633" t="s">
        <v>83</v>
      </c>
      <c r="C61" s="633" t="s">
        <v>152</v>
      </c>
      <c r="D61" s="634" t="s">
        <v>87</v>
      </c>
      <c r="E61" s="615" t="s">
        <v>749</v>
      </c>
      <c r="F61" s="613" t="s">
        <v>750</v>
      </c>
      <c r="G61" s="613" t="s">
        <v>751</v>
      </c>
      <c r="H61" s="616" t="s">
        <v>752</v>
      </c>
      <c r="I61" s="614" t="s">
        <v>753</v>
      </c>
    </row>
    <row r="62" ht="15.75" customHeight="1">
      <c r="A62" s="635"/>
      <c r="B62" s="618"/>
      <c r="C62" s="618"/>
      <c r="D62" s="619"/>
      <c r="E62" s="618"/>
      <c r="F62" s="618"/>
      <c r="G62" s="618"/>
      <c r="H62" s="620"/>
      <c r="I62" s="619"/>
    </row>
    <row r="63" ht="15.75" customHeight="1">
      <c r="A63" s="653" t="s">
        <v>775</v>
      </c>
      <c r="B63" s="668" t="s">
        <v>220</v>
      </c>
      <c r="C63" s="669" t="s">
        <v>776</v>
      </c>
      <c r="D63" s="645"/>
      <c r="E63" s="670">
        <v>1.0</v>
      </c>
      <c r="F63" s="671">
        <f>15.63/16</f>
        <v>0.976875</v>
      </c>
      <c r="G63" s="671">
        <f>17.6/16</f>
        <v>1.1</v>
      </c>
      <c r="H63" s="671">
        <f>20.37/16</f>
        <v>1.273125</v>
      </c>
      <c r="I63" s="672">
        <f>29/16</f>
        <v>1.8125</v>
      </c>
    </row>
    <row r="64" ht="15.75" customHeight="1">
      <c r="A64" s="653" t="s">
        <v>777</v>
      </c>
      <c r="B64" s="637" t="s">
        <v>92</v>
      </c>
      <c r="C64" s="604" t="s">
        <v>778</v>
      </c>
      <c r="D64" s="645" t="s">
        <v>206</v>
      </c>
      <c r="E64" s="673"/>
      <c r="F64" s="674"/>
      <c r="G64" s="674"/>
      <c r="H64" s="674"/>
      <c r="I64" s="675"/>
    </row>
    <row r="65" ht="15.75" customHeight="1">
      <c r="A65" s="642"/>
      <c r="B65" s="643"/>
      <c r="C65" s="676"/>
      <c r="D65" s="677"/>
      <c r="E65" s="673" t="s">
        <v>779</v>
      </c>
      <c r="F65" s="96">
        <v>0.9</v>
      </c>
      <c r="G65" s="96">
        <v>6.3</v>
      </c>
      <c r="H65" s="96">
        <v>11.0</v>
      </c>
      <c r="I65" s="678">
        <v>22.7</v>
      </c>
    </row>
    <row r="66" ht="15.75" customHeight="1">
      <c r="A66" s="642"/>
      <c r="B66" s="643"/>
      <c r="C66" s="604" t="s">
        <v>778</v>
      </c>
      <c r="D66" s="677" t="s">
        <v>210</v>
      </c>
      <c r="E66" s="673"/>
      <c r="F66" s="96"/>
      <c r="G66" s="96"/>
      <c r="H66" s="96"/>
      <c r="I66" s="678"/>
    </row>
    <row r="67" ht="15.75" customHeight="1">
      <c r="A67" s="626"/>
      <c r="B67" s="73"/>
      <c r="C67" s="676"/>
      <c r="D67" s="677"/>
      <c r="E67" s="673" t="s">
        <v>779</v>
      </c>
      <c r="F67" s="96">
        <v>-3.3</v>
      </c>
      <c r="G67" s="679">
        <v>2.3</v>
      </c>
      <c r="H67" s="96">
        <v>5.8</v>
      </c>
      <c r="I67" s="680">
        <v>21.9</v>
      </c>
    </row>
    <row r="68" ht="15.75" customHeight="1">
      <c r="A68" s="654" t="s">
        <v>780</v>
      </c>
      <c r="B68" s="651" t="s">
        <v>92</v>
      </c>
      <c r="C68" s="676" t="s">
        <v>776</v>
      </c>
      <c r="D68" s="677"/>
      <c r="E68" s="681">
        <v>1.0</v>
      </c>
      <c r="F68" s="682">
        <v>1.1</v>
      </c>
      <c r="G68" s="683">
        <f>4.8/4.2</f>
        <v>1.142857143</v>
      </c>
      <c r="H68" s="90"/>
      <c r="I68" s="684"/>
    </row>
    <row r="69" ht="15.75" customHeight="1">
      <c r="A69" s="653" t="str">
        <f>HYPERLINK("https://sci-hub.tw/10.1097/JOM.0b013e31824b2133","Janssens (2012)")</f>
        <v>Janssens (2012)</v>
      </c>
      <c r="B69" s="637" t="s">
        <v>760</v>
      </c>
      <c r="C69" s="20" t="s">
        <v>781</v>
      </c>
      <c r="D69" s="645" t="s">
        <v>210</v>
      </c>
      <c r="E69" s="681">
        <v>1.0</v>
      </c>
      <c r="F69" s="682">
        <v>1.488</v>
      </c>
      <c r="G69" s="683">
        <v>1.49</v>
      </c>
      <c r="H69" s="90"/>
      <c r="I69" s="684"/>
    </row>
    <row r="70" ht="15.75" customHeight="1">
      <c r="A70" s="626"/>
      <c r="B70" s="73"/>
      <c r="C70" s="20" t="s">
        <v>781</v>
      </c>
      <c r="D70" s="645" t="s">
        <v>206</v>
      </c>
      <c r="E70" s="681">
        <v>1.0</v>
      </c>
      <c r="F70" s="682">
        <v>1.175</v>
      </c>
      <c r="G70" s="683">
        <v>1.303</v>
      </c>
      <c r="H70" s="90"/>
      <c r="I70" s="684"/>
    </row>
    <row r="71" ht="15.75" customHeight="1">
      <c r="A71" s="654" t="str">
        <f>HYPERLINK("https://sci-hub.tw/https://doi.org/10.1016/j.jegh.2014.08.001","Bustillos (2015)")</f>
        <v>Bustillos (2015)</v>
      </c>
      <c r="B71" s="651" t="s">
        <v>137</v>
      </c>
      <c r="C71" s="20" t="s">
        <v>782</v>
      </c>
      <c r="D71" s="652"/>
      <c r="E71" s="685">
        <v>1.0</v>
      </c>
      <c r="F71" s="686">
        <v>1.16</v>
      </c>
      <c r="G71" s="686">
        <v>1.49</v>
      </c>
      <c r="H71" s="686">
        <v>1.26</v>
      </c>
      <c r="I71" s="687">
        <v>1.36</v>
      </c>
    </row>
    <row r="72" ht="15.75" customHeight="1">
      <c r="A72" s="656"/>
      <c r="D72" s="657"/>
      <c r="I72" s="657"/>
    </row>
    <row r="73" ht="15.75" customHeight="1">
      <c r="A73" s="656"/>
      <c r="D73" s="623" t="s">
        <v>767</v>
      </c>
      <c r="E73" s="660">
        <v>1.0</v>
      </c>
      <c r="F73" s="660">
        <v>0.976875</v>
      </c>
      <c r="G73" s="660">
        <v>1.1</v>
      </c>
      <c r="H73" s="660">
        <v>1.273125</v>
      </c>
      <c r="I73" s="661">
        <v>1.8125</v>
      </c>
    </row>
    <row r="74" ht="15.75" customHeight="1">
      <c r="A74" s="656"/>
      <c r="D74" s="623" t="s">
        <v>767</v>
      </c>
      <c r="E74" s="660">
        <v>1.0</v>
      </c>
      <c r="F74" s="660">
        <v>1.1</v>
      </c>
      <c r="G74" s="660">
        <v>1.1428571428571428</v>
      </c>
      <c r="H74" s="660">
        <v>1.1428571428571428</v>
      </c>
      <c r="I74" s="661">
        <v>1.1428571428571428</v>
      </c>
    </row>
    <row r="75" ht="15.75" customHeight="1">
      <c r="A75" s="656"/>
      <c r="D75" s="657" t="s">
        <v>765</v>
      </c>
      <c r="E75" s="658">
        <v>1.0</v>
      </c>
      <c r="F75" s="658">
        <v>1.488</v>
      </c>
      <c r="G75" s="658">
        <v>1.49</v>
      </c>
      <c r="H75" s="658">
        <v>1.49</v>
      </c>
      <c r="I75" s="659">
        <v>1.49</v>
      </c>
    </row>
    <row r="76" ht="15.75" customHeight="1">
      <c r="A76" s="656"/>
      <c r="D76" s="657" t="s">
        <v>764</v>
      </c>
      <c r="E76" s="658">
        <v>1.0</v>
      </c>
      <c r="F76" s="658">
        <v>1.175</v>
      </c>
      <c r="G76" s="658">
        <v>1.303</v>
      </c>
      <c r="H76" s="658">
        <v>1.303</v>
      </c>
      <c r="I76" s="659">
        <v>1.303</v>
      </c>
    </row>
    <row r="77" ht="15.75" customHeight="1">
      <c r="A77" s="656"/>
      <c r="D77" s="623" t="s">
        <v>755</v>
      </c>
      <c r="E77" s="660">
        <v>1.0</v>
      </c>
      <c r="F77" s="660">
        <f t="shared" ref="F77:I77" si="20">AVERAGE(F75:F76)</f>
        <v>1.3315</v>
      </c>
      <c r="G77" s="660">
        <f t="shared" si="20"/>
        <v>1.3965</v>
      </c>
      <c r="H77" s="660">
        <f t="shared" si="20"/>
        <v>1.3965</v>
      </c>
      <c r="I77" s="661">
        <f t="shared" si="20"/>
        <v>1.3965</v>
      </c>
    </row>
    <row r="78" ht="15.75" customHeight="1">
      <c r="A78" s="656"/>
      <c r="D78" s="657" t="s">
        <v>767</v>
      </c>
      <c r="E78" s="658">
        <v>1.0</v>
      </c>
      <c r="F78" s="658">
        <v>1.16</v>
      </c>
      <c r="G78" s="658">
        <v>1.49</v>
      </c>
      <c r="H78" s="658">
        <v>1.26</v>
      </c>
      <c r="I78" s="659">
        <v>1.36</v>
      </c>
    </row>
    <row r="79" ht="15.75" customHeight="1">
      <c r="A79" s="656"/>
      <c r="B79" s="13"/>
      <c r="D79" s="688"/>
      <c r="E79" s="689"/>
      <c r="F79" s="689"/>
      <c r="G79" s="689"/>
      <c r="H79" s="689"/>
      <c r="I79" s="690"/>
    </row>
    <row r="80" ht="15.75" customHeight="1">
      <c r="A80" s="691" t="s">
        <v>777</v>
      </c>
      <c r="B80" s="692"/>
      <c r="C80" s="425" t="s">
        <v>783</v>
      </c>
      <c r="D80" s="693" t="s">
        <v>764</v>
      </c>
      <c r="E80" s="694">
        <v>250.0</v>
      </c>
      <c r="F80" s="694">
        <f t="shared" ref="F80:I80" si="21">250-F65</f>
        <v>249.1</v>
      </c>
      <c r="G80" s="694">
        <f t="shared" si="21"/>
        <v>243.7</v>
      </c>
      <c r="H80" s="694">
        <f t="shared" si="21"/>
        <v>239</v>
      </c>
      <c r="I80" s="695">
        <f t="shared" si="21"/>
        <v>227.3</v>
      </c>
    </row>
    <row r="81" ht="15.75" customHeight="1">
      <c r="A81" s="656"/>
      <c r="B81" s="13"/>
      <c r="C81" s="425" t="s">
        <v>783</v>
      </c>
      <c r="D81" s="688" t="s">
        <v>765</v>
      </c>
      <c r="E81" s="689">
        <v>250.0</v>
      </c>
      <c r="F81" s="689">
        <f t="shared" ref="F81:I81" si="22">250-F67</f>
        <v>253.3</v>
      </c>
      <c r="G81" s="689">
        <f t="shared" si="22"/>
        <v>247.7</v>
      </c>
      <c r="H81" s="689">
        <f t="shared" si="22"/>
        <v>244.2</v>
      </c>
      <c r="I81" s="690">
        <f t="shared" si="22"/>
        <v>228.1</v>
      </c>
    </row>
    <row r="82" ht="15.75" customHeight="1">
      <c r="A82" s="656"/>
      <c r="B82" s="13"/>
      <c r="D82" s="688" t="s">
        <v>764</v>
      </c>
      <c r="E82" s="689">
        <v>1.0</v>
      </c>
      <c r="F82" s="689">
        <f t="shared" ref="F82:I82" si="23">$E80/F80</f>
        <v>1.003613007</v>
      </c>
      <c r="G82" s="689">
        <f t="shared" si="23"/>
        <v>1.025851457</v>
      </c>
      <c r="H82" s="689">
        <f t="shared" si="23"/>
        <v>1.046025105</v>
      </c>
      <c r="I82" s="690">
        <f t="shared" si="23"/>
        <v>1.099868016</v>
      </c>
    </row>
    <row r="83" ht="15.75" customHeight="1">
      <c r="A83" s="656"/>
      <c r="B83" s="13"/>
      <c r="D83" s="688" t="s">
        <v>765</v>
      </c>
      <c r="E83" s="689">
        <v>1.0</v>
      </c>
      <c r="F83" s="689">
        <f t="shared" ref="F83:I83" si="24">$E81/F81</f>
        <v>0.98697197</v>
      </c>
      <c r="G83" s="689">
        <f t="shared" si="24"/>
        <v>1.009285426</v>
      </c>
      <c r="H83" s="689">
        <f t="shared" si="24"/>
        <v>1.023751024</v>
      </c>
      <c r="I83" s="690">
        <f t="shared" si="24"/>
        <v>1.096010522</v>
      </c>
    </row>
    <row r="84" ht="15.75" customHeight="1">
      <c r="A84" s="656"/>
      <c r="B84" s="13"/>
      <c r="D84" s="623" t="s">
        <v>755</v>
      </c>
      <c r="E84" s="660">
        <v>1.0</v>
      </c>
      <c r="F84" s="660">
        <f t="shared" ref="F84:I84" si="25">AVERAGE(F82:F83)</f>
        <v>0.9952924884</v>
      </c>
      <c r="G84" s="660">
        <f t="shared" si="25"/>
        <v>1.017568441</v>
      </c>
      <c r="H84" s="660">
        <f t="shared" si="25"/>
        <v>1.034888064</v>
      </c>
      <c r="I84" s="661">
        <f t="shared" si="25"/>
        <v>1.097939269</v>
      </c>
    </row>
    <row r="85" ht="15.75" customHeight="1">
      <c r="A85" s="656"/>
      <c r="B85" s="13"/>
      <c r="D85" s="657"/>
      <c r="E85" s="658"/>
      <c r="F85" s="658"/>
      <c r="G85" s="658"/>
      <c r="H85" s="658"/>
      <c r="I85" s="659"/>
    </row>
    <row r="86" ht="15.75" customHeight="1">
      <c r="A86" s="656"/>
      <c r="B86" s="13" t="s">
        <v>771</v>
      </c>
      <c r="D86" s="657"/>
      <c r="E86" s="658"/>
      <c r="F86" s="658"/>
      <c r="G86" s="658"/>
      <c r="H86" s="658"/>
      <c r="I86" s="659"/>
    </row>
    <row r="87" ht="15.75" customHeight="1">
      <c r="A87" s="656"/>
      <c r="D87" s="657" t="s">
        <v>767</v>
      </c>
      <c r="E87" s="667">
        <f t="shared" ref="E87:I87" si="26">(E73+E74+E77+E84)/4</f>
        <v>1</v>
      </c>
      <c r="F87" s="667">
        <f t="shared" si="26"/>
        <v>1.100916872</v>
      </c>
      <c r="G87" s="667">
        <f t="shared" si="26"/>
        <v>1.164231396</v>
      </c>
      <c r="H87" s="667">
        <f t="shared" si="26"/>
        <v>1.211842552</v>
      </c>
      <c r="I87" s="667">
        <f t="shared" si="26"/>
        <v>1.362449103</v>
      </c>
    </row>
    <row r="88" ht="15.75" customHeight="1">
      <c r="A88" s="656"/>
      <c r="D88" s="657"/>
      <c r="I88" s="657"/>
    </row>
    <row r="89" ht="15.75" customHeight="1">
      <c r="A89" s="656"/>
      <c r="D89" s="657"/>
      <c r="I89" s="657"/>
    </row>
    <row r="90" ht="15.75" customHeight="1">
      <c r="A90" s="656"/>
      <c r="D90" s="657"/>
      <c r="I90" s="657"/>
    </row>
    <row r="91" ht="15.75" customHeight="1">
      <c r="A91" s="656"/>
      <c r="D91" s="657"/>
      <c r="I91" s="657"/>
    </row>
    <row r="92" ht="15.75" customHeight="1">
      <c r="A92" s="656"/>
      <c r="D92" s="657"/>
      <c r="I92" s="657"/>
    </row>
    <row r="93" ht="15.75" customHeight="1">
      <c r="A93" s="611" t="s">
        <v>784</v>
      </c>
      <c r="B93" s="633" t="s">
        <v>83</v>
      </c>
      <c r="C93" s="633" t="s">
        <v>152</v>
      </c>
      <c r="D93" s="634" t="s">
        <v>87</v>
      </c>
      <c r="E93" s="615" t="s">
        <v>749</v>
      </c>
      <c r="F93" s="613" t="s">
        <v>750</v>
      </c>
      <c r="G93" s="613" t="s">
        <v>751</v>
      </c>
      <c r="H93" s="616" t="s">
        <v>752</v>
      </c>
      <c r="I93" s="614" t="s">
        <v>753</v>
      </c>
    </row>
    <row r="94" ht="15.75" customHeight="1">
      <c r="A94" s="635"/>
      <c r="B94" s="618"/>
      <c r="C94" s="618"/>
      <c r="D94" s="619"/>
      <c r="E94" s="618"/>
      <c r="F94" s="618"/>
      <c r="G94" s="618"/>
      <c r="H94" s="620"/>
      <c r="I94" s="619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ht="15.75" customHeight="1">
      <c r="A95" s="653" t="str">
        <f>HYPERLINK("https://academic.oup.com/aje/article/152/9/847/59638","Murphy (2000)")</f>
        <v>Murphy (2000)</v>
      </c>
      <c r="B95" s="668" t="s">
        <v>92</v>
      </c>
      <c r="C95" s="62"/>
      <c r="D95" s="645" t="s">
        <v>210</v>
      </c>
      <c r="E95" s="696">
        <v>1.0</v>
      </c>
      <c r="F95" s="697">
        <v>1.34</v>
      </c>
      <c r="G95" s="341">
        <v>1.75</v>
      </c>
      <c r="H95" s="90"/>
      <c r="I95" s="68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ht="15.75" customHeight="1">
      <c r="A96" s="626"/>
      <c r="B96" s="73"/>
      <c r="C96" s="62"/>
      <c r="D96" s="645" t="s">
        <v>206</v>
      </c>
      <c r="E96" s="651">
        <v>1.0</v>
      </c>
      <c r="F96" s="17">
        <v>1.08</v>
      </c>
      <c r="G96" s="196">
        <v>1.25</v>
      </c>
      <c r="H96" s="90"/>
      <c r="I96" s="68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ht="15.75" customHeight="1">
      <c r="A97" s="650" t="str">
        <f>HYPERLINK("https://www.nature.com/articles/0802606/tables/1","Moore (2004)")</f>
        <v>Moore (2004)</v>
      </c>
      <c r="B97" s="637" t="s">
        <v>785</v>
      </c>
      <c r="C97" s="53"/>
      <c r="D97" s="677" t="s">
        <v>210</v>
      </c>
      <c r="E97" s="651">
        <v>1.0</v>
      </c>
      <c r="F97" s="17">
        <v>1.6</v>
      </c>
      <c r="G97" s="196">
        <v>2.85</v>
      </c>
      <c r="H97" s="90"/>
      <c r="I97" s="68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ht="15.75" customHeight="1">
      <c r="A98" s="698"/>
      <c r="B98" s="73"/>
      <c r="C98" s="699"/>
      <c r="D98" s="677" t="s">
        <v>206</v>
      </c>
      <c r="E98" s="651">
        <v>1.0</v>
      </c>
      <c r="F98" s="17">
        <v>1.6</v>
      </c>
      <c r="G98" s="196">
        <v>2.0</v>
      </c>
      <c r="H98" s="90"/>
      <c r="I98" s="68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ht="15.75" customHeight="1">
      <c r="A99" s="654" t="str">
        <f>HYPERLINK("https://sci-hub.tw/10.1634/theoncologist.2009-0285","Wolin (2010)")</f>
        <v>Wolin (2010)</v>
      </c>
      <c r="B99" s="651"/>
      <c r="C99" s="53"/>
      <c r="D99" s="677" t="s">
        <v>210</v>
      </c>
      <c r="E99" s="651">
        <v>1.0</v>
      </c>
      <c r="F99" s="17">
        <v>1.24</v>
      </c>
      <c r="G99" s="700">
        <f>1.24+1.24</f>
        <v>2.48</v>
      </c>
      <c r="H99" s="701">
        <f>G99+1.24</f>
        <v>3.72</v>
      </c>
      <c r="I99" s="702">
        <f>G99+1.24</f>
        <v>3.72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ht="15.75" customHeight="1">
      <c r="A100" s="653" t="str">
        <f>HYPERLINK("https://sci-hub.tw/10.1158/1055-9965.EPI-07-0708","Review - Moghaddam (2007)")</f>
        <v>Review - Moghaddam (2007)</v>
      </c>
      <c r="B100" s="637"/>
      <c r="C100" s="53"/>
      <c r="D100" s="677" t="s">
        <v>210</v>
      </c>
      <c r="E100" s="249">
        <v>1.0</v>
      </c>
      <c r="F100" s="17">
        <v>1.23</v>
      </c>
      <c r="G100" s="196">
        <v>1.53</v>
      </c>
      <c r="H100" s="90"/>
      <c r="I100" s="68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ht="15.75" customHeight="1">
      <c r="A101" s="626"/>
      <c r="B101" s="73"/>
      <c r="C101" s="20"/>
      <c r="D101" s="677" t="s">
        <v>206</v>
      </c>
      <c r="E101" s="249">
        <v>1.0</v>
      </c>
      <c r="F101" s="17">
        <v>1.05</v>
      </c>
      <c r="G101" s="196">
        <v>1.09</v>
      </c>
      <c r="H101" s="90"/>
      <c r="I101" s="68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ht="15.75" customHeight="1">
      <c r="A102" s="656"/>
      <c r="D102" s="657"/>
      <c r="I102" s="657"/>
    </row>
    <row r="103" ht="15.75" customHeight="1">
      <c r="A103" s="656"/>
      <c r="D103" s="657"/>
      <c r="I103" s="657"/>
    </row>
    <row r="104" ht="15.75" customHeight="1">
      <c r="A104" s="611" t="s">
        <v>356</v>
      </c>
      <c r="B104" s="633" t="s">
        <v>83</v>
      </c>
      <c r="C104" s="633" t="s">
        <v>152</v>
      </c>
      <c r="D104" s="634" t="s">
        <v>87</v>
      </c>
      <c r="E104" s="615" t="s">
        <v>749</v>
      </c>
      <c r="F104" s="613" t="s">
        <v>750</v>
      </c>
      <c r="G104" s="613" t="s">
        <v>751</v>
      </c>
      <c r="H104" s="616" t="s">
        <v>752</v>
      </c>
      <c r="I104" s="614" t="s">
        <v>753</v>
      </c>
    </row>
    <row r="105" ht="15.75" customHeight="1">
      <c r="A105" s="635"/>
      <c r="B105" s="618"/>
      <c r="C105" s="618"/>
      <c r="D105" s="619"/>
      <c r="E105" s="618"/>
      <c r="F105" s="618"/>
      <c r="G105" s="618"/>
      <c r="H105" s="620"/>
      <c r="I105" s="619"/>
    </row>
    <row r="106" ht="15.75" customHeight="1">
      <c r="A106" s="653" t="str">
        <f>HYPERLINK("https://sci-hub.tw/10.1001/archinte.161.13.1581","Field (2001)")</f>
        <v>Field (2001)</v>
      </c>
      <c r="B106" s="668" t="s">
        <v>92</v>
      </c>
      <c r="C106" s="62" t="s">
        <v>786</v>
      </c>
      <c r="D106" s="645" t="s">
        <v>206</v>
      </c>
      <c r="E106" s="696">
        <v>1.0</v>
      </c>
      <c r="F106" s="697">
        <v>1.7</v>
      </c>
      <c r="G106" s="697">
        <v>2.1</v>
      </c>
      <c r="H106" s="341">
        <v>2.3</v>
      </c>
      <c r="I106" s="684"/>
    </row>
    <row r="107" ht="15.75" customHeight="1">
      <c r="A107" s="626"/>
      <c r="B107" s="73"/>
      <c r="C107" s="62" t="s">
        <v>786</v>
      </c>
      <c r="D107" s="645" t="s">
        <v>210</v>
      </c>
      <c r="E107" s="651">
        <v>1.0</v>
      </c>
      <c r="F107" s="17">
        <v>1.4</v>
      </c>
      <c r="G107" s="17">
        <v>2.3</v>
      </c>
      <c r="H107" s="196">
        <v>2.9</v>
      </c>
      <c r="I107" s="684"/>
    </row>
    <row r="108" ht="15.75" customHeight="1">
      <c r="A108" s="650" t="str">
        <f>HYPERLINK("https://sci-hub.tw/https://doi.org/10.1161/01.HYP.0000107400.72456.19","Hu (2003)")</f>
        <v>Hu (2003)</v>
      </c>
      <c r="B108" s="637" t="s">
        <v>787</v>
      </c>
      <c r="C108" s="53"/>
      <c r="D108" s="677" t="s">
        <v>210</v>
      </c>
      <c r="E108" s="651">
        <v>1.0</v>
      </c>
      <c r="F108" s="17">
        <v>1.18</v>
      </c>
      <c r="G108" s="196">
        <v>1.66</v>
      </c>
      <c r="H108" s="90"/>
      <c r="I108" s="684"/>
    </row>
    <row r="109" ht="15.75" customHeight="1">
      <c r="A109" s="698"/>
      <c r="B109" s="73"/>
      <c r="C109" s="699"/>
      <c r="D109" s="677" t="s">
        <v>206</v>
      </c>
      <c r="E109" s="651">
        <v>1.0</v>
      </c>
      <c r="F109" s="17">
        <v>1.24</v>
      </c>
      <c r="G109" s="196">
        <v>1.32</v>
      </c>
      <c r="H109" s="90"/>
      <c r="I109" s="684"/>
    </row>
    <row r="110" ht="15.75" customHeight="1">
      <c r="A110" s="654" t="str">
        <f>HYPERLINK("http://www.jamc.ayubmed.edu.pk/index.php/jamc/article/download/3219/1533","Humayun (2003)")</f>
        <v>Humayun (2003)</v>
      </c>
      <c r="B110" s="651" t="s">
        <v>788</v>
      </c>
      <c r="C110" s="53"/>
      <c r="D110" s="677" t="s">
        <v>754</v>
      </c>
      <c r="E110" s="651">
        <v>1.0</v>
      </c>
      <c r="F110" s="17">
        <v>1.7</v>
      </c>
      <c r="G110" s="703">
        <v>2.27</v>
      </c>
      <c r="H110" s="90"/>
      <c r="I110" s="684"/>
    </row>
    <row r="111" ht="15.75" customHeight="1">
      <c r="A111" s="654" t="str">
        <f t="shared" ref="A111:A112" si="28">HYPERLINK("https://sci-hub.tw/10.1001/archinternmed.2008.611","Chirinos (2009)")</f>
        <v>Chirinos (2009)</v>
      </c>
      <c r="B111" s="651"/>
      <c r="C111" s="53"/>
      <c r="D111" s="677" t="s">
        <v>754</v>
      </c>
      <c r="E111" s="704">
        <v>1.0</v>
      </c>
      <c r="F111" s="705">
        <v>1.58</v>
      </c>
      <c r="G111" s="705">
        <f>1.58+1.58</f>
        <v>3.16</v>
      </c>
      <c r="H111" s="705">
        <f t="shared" ref="H111:I111" si="27">G111+1.58</f>
        <v>4.74</v>
      </c>
      <c r="I111" s="706">
        <f t="shared" si="27"/>
        <v>6.32</v>
      </c>
    </row>
    <row r="112" ht="15.75" customHeight="1">
      <c r="A112" s="654" t="str">
        <f t="shared" si="28"/>
        <v>Chirinos (2009)</v>
      </c>
      <c r="B112" s="622"/>
      <c r="C112" s="20"/>
      <c r="D112" s="677" t="s">
        <v>754</v>
      </c>
      <c r="E112" s="704">
        <v>1.0</v>
      </c>
      <c r="F112" s="705">
        <v>1.45</v>
      </c>
      <c r="G112" s="705">
        <f t="shared" ref="G112:I112" si="29">F112+1.45</f>
        <v>2.9</v>
      </c>
      <c r="H112" s="705">
        <f t="shared" si="29"/>
        <v>4.35</v>
      </c>
      <c r="I112" s="706">
        <f t="shared" si="29"/>
        <v>5.8</v>
      </c>
    </row>
    <row r="113" ht="15.75" customHeight="1">
      <c r="A113" s="650" t="str">
        <f>HYPERLINK("https://sci-hub.tw/https://doi.org/10.1001/jama.282.16.1523","Must (1999)")</f>
        <v>Must (1999)</v>
      </c>
      <c r="B113" s="426"/>
      <c r="C113" s="20"/>
      <c r="D113" s="677" t="s">
        <v>210</v>
      </c>
      <c r="E113" s="704">
        <v>1.0</v>
      </c>
      <c r="F113" s="705">
        <f>34.16/23.47</f>
        <v>1.455475075</v>
      </c>
      <c r="G113" s="707">
        <f>48.95/23.47</f>
        <v>2.085641244</v>
      </c>
      <c r="H113" s="705">
        <f>65.48/23.47</f>
        <v>2.78994461</v>
      </c>
      <c r="I113" s="708">
        <f>64.53/23.47</f>
        <v>2.749467405</v>
      </c>
    </row>
    <row r="114" ht="15.75" customHeight="1">
      <c r="A114" s="698"/>
      <c r="B114" s="73"/>
      <c r="C114" s="20"/>
      <c r="D114" s="652" t="s">
        <v>206</v>
      </c>
      <c r="E114" s="704">
        <v>1.0</v>
      </c>
      <c r="F114" s="705">
        <f>38.77/23.26</f>
        <v>1.666809974</v>
      </c>
      <c r="G114" s="705">
        <f>47.95/23.26</f>
        <v>2.061478934</v>
      </c>
      <c r="H114" s="705">
        <f>54.51/23.26</f>
        <v>2.343508169</v>
      </c>
      <c r="I114" s="706">
        <f>63.16/23.26</f>
        <v>2.71539123</v>
      </c>
    </row>
    <row r="115" ht="15.75" customHeight="1">
      <c r="A115" s="656"/>
      <c r="D115" s="657"/>
      <c r="I115" s="657"/>
    </row>
    <row r="116" ht="15.75" customHeight="1">
      <c r="A116" s="611" t="s">
        <v>789</v>
      </c>
      <c r="B116" s="633" t="s">
        <v>83</v>
      </c>
      <c r="C116" s="633" t="s">
        <v>152</v>
      </c>
      <c r="D116" s="634" t="s">
        <v>87</v>
      </c>
      <c r="E116" s="615" t="s">
        <v>749</v>
      </c>
      <c r="F116" s="613" t="s">
        <v>750</v>
      </c>
      <c r="G116" s="613" t="s">
        <v>751</v>
      </c>
      <c r="H116" s="616" t="s">
        <v>752</v>
      </c>
      <c r="I116" s="614" t="s">
        <v>753</v>
      </c>
    </row>
    <row r="117" ht="15.75" customHeight="1">
      <c r="A117" s="635"/>
      <c r="B117" s="618"/>
      <c r="C117" s="618"/>
      <c r="D117" s="619"/>
      <c r="E117" s="618"/>
      <c r="F117" s="618"/>
      <c r="G117" s="618"/>
      <c r="H117" s="620"/>
      <c r="I117" s="619"/>
    </row>
    <row r="118" ht="15.75" customHeight="1">
      <c r="A118" s="653" t="str">
        <f>HYPERLINK("https://sci-hub.tw/10.1001/archinte.161.13.1581","Field (2001)")</f>
        <v>Field (2001)</v>
      </c>
      <c r="B118" s="668" t="s">
        <v>92</v>
      </c>
      <c r="C118" s="62" t="s">
        <v>786</v>
      </c>
      <c r="D118" s="645" t="s">
        <v>206</v>
      </c>
      <c r="E118" s="696">
        <v>1.0</v>
      </c>
      <c r="F118" s="697">
        <v>4.6</v>
      </c>
      <c r="G118" s="697">
        <v>10.0</v>
      </c>
      <c r="H118" s="341">
        <v>17.0</v>
      </c>
      <c r="I118" s="684"/>
    </row>
    <row r="119" ht="15.75" customHeight="1">
      <c r="A119" s="626"/>
      <c r="B119" s="73"/>
      <c r="C119" s="62" t="s">
        <v>786</v>
      </c>
      <c r="D119" s="645" t="s">
        <v>210</v>
      </c>
      <c r="E119" s="651">
        <v>1.0</v>
      </c>
      <c r="F119" s="17">
        <v>3.5</v>
      </c>
      <c r="G119" s="17">
        <v>11.2</v>
      </c>
      <c r="H119" s="196">
        <v>23.4</v>
      </c>
      <c r="I119" s="684"/>
    </row>
    <row r="120" ht="15.75" customHeight="1">
      <c r="A120" s="650" t="str">
        <f>HYPERLINK("https://sci-hub.tw/https://doi.org/10.1001/jama.282.16.1523","Must (1999)")</f>
        <v>Must (1999)</v>
      </c>
      <c r="B120" s="637"/>
      <c r="C120" s="53" t="s">
        <v>790</v>
      </c>
      <c r="D120" s="677" t="s">
        <v>210</v>
      </c>
      <c r="E120" s="651">
        <v>1.0</v>
      </c>
      <c r="F120" s="705">
        <f>4.93/2.03</f>
        <v>2.428571429</v>
      </c>
      <c r="G120" s="707">
        <f>10.1/2.03</f>
        <v>4.975369458</v>
      </c>
      <c r="H120" s="705">
        <f>12.3/2.03</f>
        <v>6.0591133</v>
      </c>
      <c r="I120" s="708">
        <f>10.65/2.03</f>
        <v>5.246305419</v>
      </c>
    </row>
    <row r="121" ht="15.75" customHeight="1">
      <c r="A121" s="698"/>
      <c r="B121" s="73"/>
      <c r="C121" s="699" t="s">
        <v>790</v>
      </c>
      <c r="D121" s="677" t="s">
        <v>206</v>
      </c>
      <c r="E121" s="651">
        <v>1.0</v>
      </c>
      <c r="F121" s="705">
        <f>7.12/2.38</f>
        <v>2.991596639</v>
      </c>
      <c r="G121" s="707">
        <f>7.24/2.38</f>
        <v>3.042016807</v>
      </c>
      <c r="H121" s="705">
        <f>13.16/2.38</f>
        <v>5.529411765</v>
      </c>
      <c r="I121" s="708">
        <f>19.89/2.38</f>
        <v>8.357142857</v>
      </c>
    </row>
    <row r="122" ht="15.75" customHeight="1">
      <c r="A122" s="654" t="str">
        <f>HYPERLINK("https://www.ncbi.nlm.nih.gov/pmc/articles/PMC3047996/","Hammond (2010)")</f>
        <v>Hammond (2010)</v>
      </c>
      <c r="B122" s="651"/>
      <c r="C122" s="53" t="s">
        <v>791</v>
      </c>
      <c r="D122" s="677" t="s">
        <v>792</v>
      </c>
      <c r="E122" s="651">
        <v>1.0</v>
      </c>
      <c r="F122" s="17">
        <v>1.59</v>
      </c>
      <c r="G122" s="703">
        <v>3.44</v>
      </c>
      <c r="H122" s="90"/>
      <c r="I122" s="684"/>
    </row>
    <row r="123" ht="15.75" customHeight="1">
      <c r="A123" s="654" t="str">
        <f>HYPERLINK("https://jamanetwork.com/journals/jama/article-abstract/199391","Weinstein (2004)")</f>
        <v>Weinstein (2004)</v>
      </c>
      <c r="B123" s="651"/>
      <c r="C123" s="53"/>
      <c r="D123" s="677" t="s">
        <v>792</v>
      </c>
      <c r="E123" s="249">
        <v>1.0</v>
      </c>
      <c r="F123" s="17">
        <v>3.22</v>
      </c>
      <c r="G123" s="196">
        <v>9.09</v>
      </c>
      <c r="H123" s="90"/>
      <c r="I123" s="684"/>
    </row>
    <row r="124" ht="15.75" customHeight="1">
      <c r="A124" s="627"/>
      <c r="B124" s="622"/>
      <c r="C124" s="20"/>
      <c r="D124" s="677"/>
      <c r="E124" s="622"/>
      <c r="F124" s="17"/>
      <c r="G124" s="17"/>
      <c r="H124" s="17"/>
      <c r="I124" s="655"/>
    </row>
    <row r="125" ht="15.75" customHeight="1">
      <c r="A125" s="656"/>
      <c r="D125" s="657"/>
      <c r="I125" s="657"/>
    </row>
    <row r="126" ht="15.75" customHeight="1">
      <c r="A126" s="611" t="s">
        <v>793</v>
      </c>
      <c r="B126" s="633" t="s">
        <v>83</v>
      </c>
      <c r="C126" s="633" t="s">
        <v>152</v>
      </c>
      <c r="D126" s="634" t="s">
        <v>87</v>
      </c>
      <c r="E126" s="615" t="s">
        <v>749</v>
      </c>
      <c r="F126" s="613" t="s">
        <v>750</v>
      </c>
      <c r="G126" s="613" t="s">
        <v>751</v>
      </c>
      <c r="H126" s="616" t="s">
        <v>752</v>
      </c>
      <c r="I126" s="614" t="s">
        <v>753</v>
      </c>
    </row>
    <row r="127" ht="15.75" customHeight="1">
      <c r="A127" s="635"/>
      <c r="B127" s="618"/>
      <c r="C127" s="618"/>
      <c r="D127" s="619"/>
      <c r="E127" s="618"/>
      <c r="F127" s="618"/>
      <c r="G127" s="618"/>
      <c r="H127" s="620"/>
      <c r="I127" s="619"/>
    </row>
    <row r="128" ht="15.75" customHeight="1">
      <c r="A128" s="653" t="str">
        <f>HYPERLINK("https://sci-hub.tw/10.1001/archinte.161.13.1581","Field (2001)")</f>
        <v>Field (2001)</v>
      </c>
      <c r="B128" s="668" t="s">
        <v>92</v>
      </c>
      <c r="C128" s="62" t="s">
        <v>786</v>
      </c>
      <c r="D128" s="645" t="s">
        <v>206</v>
      </c>
      <c r="E128" s="696">
        <v>1.0</v>
      </c>
      <c r="F128" s="697">
        <v>1.9</v>
      </c>
      <c r="G128" s="697">
        <v>2.5</v>
      </c>
      <c r="H128" s="341">
        <v>2.9</v>
      </c>
      <c r="I128" s="684"/>
    </row>
    <row r="129" ht="15.75" customHeight="1">
      <c r="A129" s="626"/>
      <c r="B129" s="73"/>
      <c r="C129" s="62" t="s">
        <v>786</v>
      </c>
      <c r="D129" s="645" t="s">
        <v>210</v>
      </c>
      <c r="E129" s="651">
        <v>1.0</v>
      </c>
      <c r="F129" s="17">
        <v>1.4</v>
      </c>
      <c r="G129" s="17">
        <v>2.3</v>
      </c>
      <c r="H129" s="196">
        <v>2.9</v>
      </c>
      <c r="I129" s="684"/>
    </row>
    <row r="130" ht="15.75" customHeight="1">
      <c r="A130" s="650" t="str">
        <f>HYPERLINK("https://sci-hub.tw/https://doi.org/10.1001/jama.282.16.1523","Must (1999)")</f>
        <v>Must (1999)</v>
      </c>
      <c r="B130" s="637"/>
      <c r="C130" s="53" t="s">
        <v>790</v>
      </c>
      <c r="D130" s="677" t="s">
        <v>210</v>
      </c>
      <c r="E130" s="651">
        <v>1.0</v>
      </c>
      <c r="F130" s="705">
        <f>3.39/1.93</f>
        <v>1.756476684</v>
      </c>
      <c r="G130" s="707">
        <f>5.38/1.93</f>
        <v>2.787564767</v>
      </c>
      <c r="H130" s="705">
        <f>5.8/1.93</f>
        <v>3.005181347</v>
      </c>
      <c r="I130" s="708">
        <f>10.17/1.93</f>
        <v>5.269430052</v>
      </c>
    </row>
    <row r="131" ht="15.75" customHeight="1">
      <c r="A131" s="698"/>
      <c r="B131" s="73"/>
      <c r="C131" s="699" t="s">
        <v>790</v>
      </c>
      <c r="D131" s="677" t="s">
        <v>206</v>
      </c>
      <c r="E131" s="651">
        <v>1.0</v>
      </c>
      <c r="F131" s="705">
        <f>11.84/6.29</f>
        <v>1.882352941</v>
      </c>
      <c r="G131" s="707">
        <f>15.99/6.29</f>
        <v>2.542130366</v>
      </c>
      <c r="H131" s="705">
        <f>19.15/6.29</f>
        <v>3.044515103</v>
      </c>
      <c r="I131" s="708">
        <f>23.45/6.29</f>
        <v>3.728139905</v>
      </c>
    </row>
    <row r="132" ht="15.75" customHeight="1">
      <c r="A132" s="621" t="str">
        <f>HYPERLINK("https://sci-hub.tw/https://doi.org/10.1007/s10654-015-0081-y","Review - Aune (2015)")</f>
        <v>Review - Aune (2015)</v>
      </c>
      <c r="B132" s="651"/>
      <c r="C132" s="53"/>
      <c r="D132" s="677" t="s">
        <v>794</v>
      </c>
      <c r="E132" s="651">
        <v>1.0</v>
      </c>
      <c r="F132" s="17">
        <v>1.63</v>
      </c>
      <c r="G132" s="700">
        <f t="shared" ref="G132:I132" si="30">F132+1.63</f>
        <v>3.26</v>
      </c>
      <c r="H132" s="701">
        <f t="shared" si="30"/>
        <v>4.89</v>
      </c>
      <c r="I132" s="702">
        <f t="shared" si="30"/>
        <v>6.52</v>
      </c>
    </row>
    <row r="133" ht="15.75" customHeight="1">
      <c r="A133" s="656"/>
      <c r="D133" s="657"/>
      <c r="I133" s="657"/>
    </row>
    <row r="134" ht="15.75" customHeight="1">
      <c r="A134" s="656"/>
      <c r="D134" s="657"/>
      <c r="I134" s="657"/>
    </row>
    <row r="135" ht="15.75" customHeight="1">
      <c r="A135" s="656"/>
      <c r="D135" s="657"/>
      <c r="I135" s="657"/>
    </row>
    <row r="136" ht="15.75" customHeight="1">
      <c r="A136" s="656"/>
      <c r="D136" s="657"/>
      <c r="I136" s="657"/>
    </row>
    <row r="137" ht="15.75" customHeight="1">
      <c r="A137" s="656" t="s">
        <v>795</v>
      </c>
      <c r="D137" s="657"/>
      <c r="I137" s="657"/>
    </row>
    <row r="138" ht="15.75" customHeight="1">
      <c r="A138" s="656"/>
      <c r="D138" s="657"/>
      <c r="I138" s="657"/>
    </row>
    <row r="139" ht="15.75" customHeight="1">
      <c r="A139" s="656"/>
      <c r="D139" s="657"/>
      <c r="I139" s="657"/>
    </row>
    <row r="140" ht="15.75" customHeight="1">
      <c r="A140" s="656"/>
      <c r="D140" s="657"/>
      <c r="I140" s="657"/>
    </row>
    <row r="141" ht="15.75" customHeight="1">
      <c r="A141" s="656"/>
      <c r="D141" s="657"/>
      <c r="I141" s="657"/>
    </row>
    <row r="142" ht="15.75" customHeight="1">
      <c r="A142" s="656"/>
      <c r="D142" s="657"/>
      <c r="I142" s="657"/>
    </row>
    <row r="143" ht="15.75" customHeight="1">
      <c r="A143" s="656"/>
      <c r="D143" s="657"/>
      <c r="I143" s="657"/>
    </row>
    <row r="144" ht="15.75" customHeight="1">
      <c r="A144" s="656"/>
      <c r="D144" s="657"/>
      <c r="I144" s="657"/>
    </row>
    <row r="145" ht="15.75" customHeight="1">
      <c r="A145" s="656"/>
      <c r="D145" s="657"/>
      <c r="I145" s="657"/>
    </row>
    <row r="146" ht="15.75" customHeight="1">
      <c r="A146" s="656"/>
      <c r="D146" s="657"/>
      <c r="I146" s="657"/>
    </row>
    <row r="147" ht="15.75" customHeight="1">
      <c r="A147" s="656"/>
      <c r="D147" s="657"/>
      <c r="I147" s="657"/>
    </row>
    <row r="148" ht="15.75" customHeight="1">
      <c r="A148" s="656"/>
      <c r="D148" s="657"/>
      <c r="I148" s="657"/>
    </row>
    <row r="149" ht="15.75" customHeight="1">
      <c r="A149" s="656"/>
      <c r="D149" s="657"/>
      <c r="I149" s="657"/>
    </row>
    <row r="150" ht="15.75" customHeight="1">
      <c r="A150" s="656"/>
      <c r="D150" s="657"/>
      <c r="I150" s="657"/>
    </row>
    <row r="151" ht="15.75" customHeight="1">
      <c r="A151" s="656"/>
      <c r="D151" s="657"/>
      <c r="I151" s="657"/>
    </row>
    <row r="152" ht="15.75" customHeight="1">
      <c r="A152" s="656"/>
      <c r="D152" s="657"/>
      <c r="I152" s="657"/>
    </row>
    <row r="153" ht="15.75" customHeight="1">
      <c r="A153" s="656"/>
      <c r="D153" s="657"/>
      <c r="I153" s="657"/>
    </row>
    <row r="154" ht="15.75" customHeight="1">
      <c r="A154" s="656"/>
      <c r="D154" s="657"/>
      <c r="I154" s="657"/>
    </row>
    <row r="155" ht="15.75" customHeight="1">
      <c r="A155" s="656"/>
      <c r="D155" s="657"/>
      <c r="I155" s="657"/>
    </row>
    <row r="156" ht="15.75" customHeight="1">
      <c r="A156" s="656"/>
      <c r="D156" s="657"/>
      <c r="I156" s="657"/>
    </row>
    <row r="157" ht="15.75" customHeight="1">
      <c r="A157" s="656"/>
      <c r="D157" s="657"/>
      <c r="I157" s="657"/>
    </row>
    <row r="158" ht="15.75" customHeight="1">
      <c r="A158" s="656"/>
      <c r="D158" s="657"/>
      <c r="I158" s="657"/>
    </row>
    <row r="159" ht="15.75" customHeight="1">
      <c r="A159" s="656"/>
      <c r="D159" s="657"/>
      <c r="I159" s="657"/>
    </row>
    <row r="160" ht="15.75" customHeight="1">
      <c r="A160" s="656"/>
      <c r="D160" s="657"/>
      <c r="I160" s="657"/>
    </row>
    <row r="161" ht="15.75" customHeight="1">
      <c r="A161" s="656"/>
      <c r="D161" s="657"/>
      <c r="I161" s="657"/>
    </row>
    <row r="162" ht="15.75" customHeight="1">
      <c r="A162" s="656"/>
      <c r="D162" s="657"/>
      <c r="I162" s="657"/>
    </row>
    <row r="163" ht="15.75" customHeight="1">
      <c r="A163" s="656"/>
      <c r="D163" s="657"/>
      <c r="I163" s="657"/>
    </row>
    <row r="164" ht="15.75" customHeight="1">
      <c r="A164" s="656"/>
      <c r="D164" s="657"/>
      <c r="I164" s="657"/>
    </row>
    <row r="165" ht="15.75" customHeight="1">
      <c r="A165" s="656"/>
      <c r="D165" s="657"/>
      <c r="I165" s="657"/>
    </row>
    <row r="166" ht="15.75" customHeight="1">
      <c r="A166" s="656"/>
      <c r="D166" s="657"/>
      <c r="I166" s="657"/>
    </row>
    <row r="167" ht="15.75" customHeight="1">
      <c r="A167" s="656"/>
      <c r="D167" s="657"/>
      <c r="I167" s="657"/>
    </row>
    <row r="168" ht="15.75" customHeight="1">
      <c r="A168" s="656"/>
      <c r="D168" s="657"/>
      <c r="I168" s="657"/>
    </row>
    <row r="169" ht="15.75" customHeight="1">
      <c r="A169" s="656"/>
      <c r="D169" s="657"/>
      <c r="I169" s="657"/>
    </row>
    <row r="170" ht="15.75" customHeight="1">
      <c r="A170" s="656"/>
      <c r="D170" s="657"/>
      <c r="I170" s="657"/>
    </row>
    <row r="171" ht="15.75" customHeight="1">
      <c r="A171" s="656"/>
      <c r="D171" s="657"/>
      <c r="I171" s="657"/>
    </row>
    <row r="172" ht="15.75" customHeight="1">
      <c r="A172" s="656"/>
      <c r="D172" s="657"/>
      <c r="I172" s="657"/>
    </row>
    <row r="173" ht="15.75" customHeight="1">
      <c r="A173" s="656"/>
      <c r="D173" s="657"/>
      <c r="I173" s="657"/>
    </row>
    <row r="174" ht="15.75" customHeight="1">
      <c r="A174" s="656"/>
      <c r="D174" s="657"/>
      <c r="I174" s="657"/>
    </row>
    <row r="175" ht="15.75" customHeight="1">
      <c r="A175" s="656"/>
      <c r="D175" s="657"/>
      <c r="I175" s="657"/>
    </row>
    <row r="176" ht="15.75" customHeight="1">
      <c r="A176" s="656"/>
      <c r="D176" s="657"/>
      <c r="I176" s="657"/>
    </row>
    <row r="177" ht="15.75" customHeight="1">
      <c r="A177" s="656"/>
      <c r="D177" s="657"/>
      <c r="I177" s="657"/>
    </row>
    <row r="178" ht="15.75" customHeight="1">
      <c r="A178" s="656"/>
      <c r="D178" s="657"/>
      <c r="I178" s="657"/>
    </row>
    <row r="179" ht="15.75" customHeight="1">
      <c r="A179" s="656"/>
      <c r="D179" s="657"/>
      <c r="I179" s="657"/>
    </row>
    <row r="180" ht="15.75" customHeight="1">
      <c r="A180" s="656"/>
      <c r="D180" s="657"/>
      <c r="I180" s="657"/>
    </row>
    <row r="181" ht="15.75" customHeight="1">
      <c r="A181" s="656"/>
      <c r="D181" s="657"/>
      <c r="I181" s="657"/>
    </row>
    <row r="182" ht="15.75" customHeight="1">
      <c r="A182" s="656"/>
      <c r="D182" s="657"/>
      <c r="I182" s="657"/>
    </row>
    <row r="183" ht="15.75" customHeight="1">
      <c r="A183" s="656"/>
      <c r="D183" s="657"/>
      <c r="I183" s="657"/>
    </row>
    <row r="184" ht="15.75" customHeight="1">
      <c r="A184" s="656"/>
      <c r="D184" s="657"/>
      <c r="I184" s="657"/>
    </row>
    <row r="185" ht="15.75" customHeight="1">
      <c r="A185" s="656"/>
      <c r="D185" s="657"/>
      <c r="I185" s="657"/>
    </row>
    <row r="186" ht="15.75" customHeight="1">
      <c r="A186" s="656"/>
      <c r="D186" s="657"/>
      <c r="I186" s="657"/>
    </row>
    <row r="187" ht="15.75" customHeight="1">
      <c r="A187" s="656"/>
      <c r="D187" s="657"/>
      <c r="I187" s="657"/>
    </row>
    <row r="188" ht="15.75" customHeight="1">
      <c r="A188" s="656"/>
      <c r="D188" s="657"/>
      <c r="I188" s="657"/>
    </row>
    <row r="189" ht="15.75" customHeight="1">
      <c r="A189" s="656"/>
      <c r="D189" s="657"/>
      <c r="I189" s="657"/>
    </row>
    <row r="190" ht="15.75" customHeight="1">
      <c r="A190" s="656"/>
      <c r="D190" s="657"/>
      <c r="I190" s="657"/>
    </row>
    <row r="191" ht="15.75" customHeight="1">
      <c r="A191" s="656"/>
      <c r="D191" s="657"/>
      <c r="I191" s="657"/>
    </row>
    <row r="192" ht="15.75" customHeight="1">
      <c r="A192" s="656"/>
      <c r="D192" s="657"/>
      <c r="I192" s="657"/>
    </row>
    <row r="193" ht="15.75" customHeight="1">
      <c r="A193" s="656"/>
      <c r="D193" s="657"/>
      <c r="I193" s="657"/>
    </row>
    <row r="194" ht="15.75" customHeight="1">
      <c r="A194" s="656"/>
      <c r="D194" s="657"/>
      <c r="I194" s="657"/>
    </row>
    <row r="195" ht="15.75" customHeight="1">
      <c r="A195" s="656"/>
      <c r="D195" s="657"/>
      <c r="I195" s="657"/>
    </row>
    <row r="196" ht="15.75" customHeight="1">
      <c r="A196" s="656"/>
      <c r="D196" s="657"/>
      <c r="I196" s="657"/>
    </row>
    <row r="197" ht="15.75" customHeight="1">
      <c r="A197" s="656"/>
      <c r="D197" s="657"/>
      <c r="I197" s="657"/>
    </row>
    <row r="198" ht="15.75" customHeight="1">
      <c r="A198" s="656"/>
      <c r="D198" s="657"/>
      <c r="I198" s="657"/>
    </row>
    <row r="199" ht="15.75" customHeight="1">
      <c r="A199" s="656"/>
      <c r="D199" s="657"/>
      <c r="I199" s="657"/>
    </row>
    <row r="200" ht="15.75" customHeight="1">
      <c r="A200" s="656"/>
      <c r="D200" s="657"/>
      <c r="I200" s="657"/>
    </row>
    <row r="201" ht="15.75" customHeight="1">
      <c r="A201" s="656"/>
      <c r="D201" s="657"/>
      <c r="I201" s="657"/>
    </row>
    <row r="202" ht="15.75" customHeight="1">
      <c r="A202" s="656"/>
      <c r="D202" s="657"/>
      <c r="I202" s="657"/>
    </row>
    <row r="203" ht="15.75" customHeight="1">
      <c r="A203" s="656"/>
      <c r="D203" s="657"/>
      <c r="I203" s="657"/>
    </row>
    <row r="204" ht="15.75" customHeight="1">
      <c r="A204" s="656"/>
      <c r="D204" s="657"/>
      <c r="I204" s="657"/>
    </row>
    <row r="205" ht="15.75" customHeight="1">
      <c r="A205" s="656"/>
      <c r="D205" s="657"/>
      <c r="I205" s="657"/>
    </row>
    <row r="206" ht="15.75" customHeight="1">
      <c r="A206" s="656"/>
      <c r="D206" s="657"/>
      <c r="I206" s="657"/>
    </row>
    <row r="207" ht="15.75" customHeight="1">
      <c r="A207" s="656"/>
      <c r="D207" s="657"/>
      <c r="I207" s="657"/>
    </row>
    <row r="208" ht="15.75" customHeight="1">
      <c r="A208" s="656"/>
      <c r="D208" s="657"/>
      <c r="I208" s="657"/>
    </row>
    <row r="209" ht="15.75" customHeight="1">
      <c r="A209" s="656"/>
      <c r="D209" s="657"/>
      <c r="I209" s="657"/>
    </row>
    <row r="210" ht="15.75" customHeight="1">
      <c r="A210" s="656"/>
      <c r="D210" s="657"/>
      <c r="I210" s="657"/>
    </row>
    <row r="211" ht="15.75" customHeight="1">
      <c r="A211" s="656"/>
      <c r="D211" s="657"/>
      <c r="I211" s="657"/>
    </row>
    <row r="212" ht="15.75" customHeight="1">
      <c r="A212" s="656"/>
      <c r="D212" s="657"/>
      <c r="I212" s="657"/>
    </row>
    <row r="213" ht="15.75" customHeight="1">
      <c r="A213" s="656"/>
      <c r="D213" s="657"/>
      <c r="I213" s="657"/>
    </row>
    <row r="214" ht="15.75" customHeight="1">
      <c r="A214" s="656"/>
      <c r="D214" s="657"/>
      <c r="I214" s="657"/>
    </row>
    <row r="215" ht="15.75" customHeight="1">
      <c r="A215" s="656"/>
      <c r="D215" s="657"/>
      <c r="I215" s="657"/>
    </row>
    <row r="216" ht="15.75" customHeight="1">
      <c r="A216" s="656"/>
      <c r="D216" s="657"/>
      <c r="I216" s="657"/>
    </row>
    <row r="217" ht="15.75" customHeight="1">
      <c r="A217" s="656"/>
      <c r="D217" s="657"/>
      <c r="I217" s="657"/>
    </row>
    <row r="218" ht="15.75" customHeight="1">
      <c r="A218" s="656"/>
      <c r="D218" s="657"/>
      <c r="I218" s="657"/>
    </row>
    <row r="219" ht="15.75" customHeight="1">
      <c r="A219" s="656"/>
      <c r="D219" s="657"/>
      <c r="I219" s="657"/>
    </row>
    <row r="220" ht="15.75" customHeight="1">
      <c r="A220" s="656"/>
      <c r="D220" s="657"/>
      <c r="I220" s="657"/>
    </row>
    <row r="221" ht="15.75" customHeight="1">
      <c r="A221" s="656"/>
      <c r="D221" s="657"/>
      <c r="I221" s="657"/>
    </row>
    <row r="222" ht="15.75" customHeight="1">
      <c r="A222" s="656"/>
      <c r="D222" s="657"/>
      <c r="I222" s="657"/>
    </row>
    <row r="223" ht="15.75" customHeight="1">
      <c r="A223" s="656"/>
      <c r="D223" s="657"/>
      <c r="I223" s="657"/>
    </row>
    <row r="224" ht="15.75" customHeight="1">
      <c r="A224" s="656"/>
      <c r="D224" s="657"/>
      <c r="I224" s="657"/>
    </row>
    <row r="225" ht="15.75" customHeight="1">
      <c r="A225" s="656"/>
      <c r="D225" s="657"/>
      <c r="I225" s="657"/>
    </row>
    <row r="226" ht="15.75" customHeight="1">
      <c r="A226" s="656"/>
      <c r="D226" s="657"/>
      <c r="I226" s="657"/>
    </row>
    <row r="227" ht="15.75" customHeight="1">
      <c r="A227" s="656"/>
      <c r="D227" s="657"/>
      <c r="I227" s="657"/>
    </row>
    <row r="228" ht="15.75" customHeight="1">
      <c r="A228" s="656"/>
      <c r="D228" s="657"/>
      <c r="I228" s="657"/>
    </row>
    <row r="229" ht="15.75" customHeight="1">
      <c r="A229" s="656"/>
      <c r="D229" s="657"/>
      <c r="I229" s="657"/>
    </row>
    <row r="230" ht="15.75" customHeight="1">
      <c r="A230" s="656"/>
      <c r="D230" s="657"/>
      <c r="I230" s="657"/>
    </row>
    <row r="231" ht="15.75" customHeight="1">
      <c r="A231" s="656"/>
      <c r="D231" s="657"/>
      <c r="I231" s="657"/>
    </row>
    <row r="232" ht="15.75" customHeight="1">
      <c r="A232" s="656"/>
      <c r="D232" s="657"/>
      <c r="I232" s="657"/>
    </row>
    <row r="233" ht="15.75" customHeight="1">
      <c r="A233" s="656"/>
      <c r="D233" s="657"/>
      <c r="I233" s="657"/>
    </row>
    <row r="234" ht="15.75" customHeight="1">
      <c r="A234" s="656"/>
      <c r="D234" s="657"/>
      <c r="I234" s="657"/>
    </row>
    <row r="235" ht="15.75" customHeight="1">
      <c r="A235" s="656"/>
      <c r="D235" s="657"/>
      <c r="I235" s="657"/>
    </row>
    <row r="236" ht="15.75" customHeight="1">
      <c r="A236" s="656"/>
      <c r="D236" s="657"/>
      <c r="I236" s="657"/>
    </row>
    <row r="237" ht="15.75" customHeight="1">
      <c r="A237" s="656"/>
      <c r="D237" s="657"/>
      <c r="I237" s="657"/>
    </row>
    <row r="238" ht="15.75" customHeight="1">
      <c r="A238" s="656"/>
      <c r="D238" s="657"/>
      <c r="I238" s="657"/>
    </row>
    <row r="239" ht="15.75" customHeight="1">
      <c r="A239" s="656"/>
      <c r="D239" s="657"/>
      <c r="I239" s="657"/>
    </row>
    <row r="240" ht="15.75" customHeight="1">
      <c r="A240" s="656"/>
      <c r="D240" s="657"/>
      <c r="I240" s="657"/>
    </row>
    <row r="241" ht="15.75" customHeight="1">
      <c r="A241" s="656"/>
      <c r="D241" s="657"/>
      <c r="I241" s="657"/>
    </row>
    <row r="242" ht="15.75" customHeight="1">
      <c r="A242" s="656"/>
      <c r="D242" s="657"/>
      <c r="I242" s="657"/>
    </row>
    <row r="243" ht="15.75" customHeight="1">
      <c r="A243" s="656"/>
      <c r="D243" s="657"/>
      <c r="I243" s="657"/>
    </row>
    <row r="244" ht="15.75" customHeight="1">
      <c r="A244" s="656"/>
      <c r="D244" s="657"/>
      <c r="I244" s="657"/>
    </row>
    <row r="245" ht="15.75" customHeight="1">
      <c r="A245" s="656"/>
      <c r="D245" s="657"/>
      <c r="I245" s="657"/>
    </row>
    <row r="246" ht="15.75" customHeight="1">
      <c r="A246" s="656"/>
      <c r="D246" s="657"/>
      <c r="I246" s="657"/>
    </row>
    <row r="247" ht="15.75" customHeight="1">
      <c r="A247" s="656"/>
      <c r="D247" s="657"/>
      <c r="I247" s="657"/>
    </row>
    <row r="248" ht="15.75" customHeight="1">
      <c r="A248" s="656"/>
      <c r="D248" s="657"/>
      <c r="I248" s="657"/>
    </row>
    <row r="249" ht="15.75" customHeight="1">
      <c r="A249" s="656"/>
      <c r="D249" s="657"/>
      <c r="I249" s="657"/>
    </row>
    <row r="250" ht="15.75" customHeight="1">
      <c r="A250" s="656"/>
      <c r="D250" s="657"/>
      <c r="I250" s="657"/>
    </row>
    <row r="251" ht="15.75" customHeight="1">
      <c r="A251" s="656"/>
      <c r="D251" s="657"/>
      <c r="I251" s="657"/>
    </row>
    <row r="252" ht="15.75" customHeight="1">
      <c r="A252" s="656"/>
      <c r="D252" s="657"/>
      <c r="I252" s="657"/>
    </row>
    <row r="253" ht="15.75" customHeight="1">
      <c r="A253" s="656"/>
      <c r="D253" s="657"/>
      <c r="I253" s="657"/>
    </row>
    <row r="254" ht="15.75" customHeight="1">
      <c r="A254" s="656"/>
      <c r="D254" s="657"/>
      <c r="I254" s="657"/>
    </row>
    <row r="255" ht="15.75" customHeight="1">
      <c r="A255" s="656"/>
      <c r="D255" s="657"/>
      <c r="I255" s="657"/>
    </row>
    <row r="256" ht="15.75" customHeight="1">
      <c r="A256" s="656"/>
      <c r="D256" s="657"/>
      <c r="I256" s="657"/>
    </row>
    <row r="257" ht="15.75" customHeight="1">
      <c r="A257" s="656"/>
      <c r="D257" s="657"/>
      <c r="I257" s="657"/>
    </row>
    <row r="258" ht="15.75" customHeight="1">
      <c r="A258" s="656"/>
      <c r="D258" s="657"/>
      <c r="I258" s="657"/>
    </row>
    <row r="259" ht="15.75" customHeight="1">
      <c r="A259" s="656"/>
      <c r="D259" s="657"/>
      <c r="I259" s="657"/>
    </row>
    <row r="260" ht="15.75" customHeight="1">
      <c r="A260" s="656"/>
      <c r="D260" s="657"/>
      <c r="I260" s="657"/>
    </row>
    <row r="261" ht="15.75" customHeight="1">
      <c r="A261" s="656"/>
      <c r="D261" s="657"/>
      <c r="I261" s="657"/>
    </row>
    <row r="262" ht="15.75" customHeight="1">
      <c r="A262" s="656"/>
      <c r="D262" s="657"/>
      <c r="I262" s="657"/>
    </row>
    <row r="263" ht="15.75" customHeight="1">
      <c r="A263" s="656"/>
      <c r="D263" s="657"/>
      <c r="I263" s="657"/>
    </row>
    <row r="264" ht="15.75" customHeight="1">
      <c r="A264" s="656"/>
      <c r="D264" s="657"/>
      <c r="I264" s="657"/>
    </row>
    <row r="265" ht="15.75" customHeight="1">
      <c r="A265" s="656"/>
      <c r="D265" s="657"/>
      <c r="I265" s="657"/>
    </row>
    <row r="266" ht="15.75" customHeight="1">
      <c r="A266" s="656"/>
      <c r="D266" s="657"/>
      <c r="I266" s="657"/>
    </row>
    <row r="267" ht="15.75" customHeight="1">
      <c r="A267" s="656"/>
      <c r="D267" s="657"/>
      <c r="I267" s="657"/>
    </row>
    <row r="268" ht="15.75" customHeight="1">
      <c r="A268" s="656"/>
      <c r="D268" s="657"/>
      <c r="I268" s="657"/>
    </row>
    <row r="269" ht="15.75" customHeight="1">
      <c r="A269" s="656"/>
      <c r="D269" s="657"/>
      <c r="I269" s="657"/>
    </row>
    <row r="270" ht="15.75" customHeight="1">
      <c r="A270" s="656"/>
      <c r="D270" s="657"/>
      <c r="I270" s="657"/>
    </row>
    <row r="271" ht="15.75" customHeight="1">
      <c r="A271" s="656"/>
      <c r="D271" s="657"/>
      <c r="I271" s="657"/>
    </row>
    <row r="272" ht="15.75" customHeight="1">
      <c r="A272" s="656"/>
      <c r="D272" s="657"/>
      <c r="I272" s="657"/>
    </row>
    <row r="273" ht="15.75" customHeight="1">
      <c r="A273" s="656"/>
      <c r="D273" s="657"/>
      <c r="I273" s="657"/>
    </row>
    <row r="274" ht="15.75" customHeight="1">
      <c r="A274" s="656"/>
      <c r="D274" s="657"/>
      <c r="I274" s="657"/>
    </row>
    <row r="275" ht="15.75" customHeight="1">
      <c r="A275" s="656"/>
      <c r="D275" s="657"/>
      <c r="I275" s="657"/>
    </row>
    <row r="276" ht="15.75" customHeight="1">
      <c r="A276" s="656"/>
      <c r="D276" s="657"/>
      <c r="I276" s="657"/>
    </row>
    <row r="277" ht="15.75" customHeight="1">
      <c r="A277" s="656"/>
      <c r="D277" s="657"/>
      <c r="I277" s="657"/>
    </row>
    <row r="278" ht="15.75" customHeight="1">
      <c r="A278" s="656"/>
      <c r="D278" s="657"/>
      <c r="I278" s="657"/>
    </row>
    <row r="279" ht="15.75" customHeight="1">
      <c r="A279" s="656"/>
      <c r="D279" s="657"/>
      <c r="I279" s="657"/>
    </row>
    <row r="280" ht="15.75" customHeight="1">
      <c r="A280" s="656"/>
      <c r="D280" s="657"/>
      <c r="I280" s="657"/>
    </row>
    <row r="281" ht="15.75" customHeight="1">
      <c r="A281" s="656"/>
      <c r="D281" s="657"/>
      <c r="I281" s="657"/>
    </row>
    <row r="282" ht="15.75" customHeight="1">
      <c r="A282" s="656"/>
      <c r="D282" s="657"/>
      <c r="I282" s="657"/>
    </row>
    <row r="283" ht="15.75" customHeight="1">
      <c r="A283" s="656"/>
      <c r="D283" s="657"/>
      <c r="I283" s="657"/>
    </row>
    <row r="284" ht="15.75" customHeight="1">
      <c r="A284" s="656"/>
      <c r="D284" s="657"/>
      <c r="I284" s="657"/>
    </row>
    <row r="285" ht="15.75" customHeight="1">
      <c r="A285" s="656"/>
      <c r="D285" s="657"/>
      <c r="I285" s="657"/>
    </row>
    <row r="286" ht="15.75" customHeight="1">
      <c r="A286" s="656"/>
      <c r="D286" s="657"/>
      <c r="I286" s="657"/>
    </row>
    <row r="287" ht="15.75" customHeight="1">
      <c r="A287" s="656"/>
      <c r="D287" s="657"/>
      <c r="I287" s="657"/>
    </row>
    <row r="288" ht="15.75" customHeight="1">
      <c r="A288" s="656"/>
      <c r="D288" s="657"/>
      <c r="I288" s="657"/>
    </row>
    <row r="289" ht="15.75" customHeight="1">
      <c r="A289" s="656"/>
      <c r="D289" s="657"/>
      <c r="I289" s="657"/>
    </row>
    <row r="290" ht="15.75" customHeight="1">
      <c r="A290" s="656"/>
      <c r="D290" s="657"/>
      <c r="I290" s="657"/>
    </row>
    <row r="291" ht="15.75" customHeight="1">
      <c r="A291" s="656"/>
      <c r="D291" s="657"/>
      <c r="I291" s="657"/>
    </row>
    <row r="292" ht="15.75" customHeight="1">
      <c r="A292" s="656"/>
      <c r="D292" s="657"/>
      <c r="I292" s="657"/>
    </row>
    <row r="293" ht="15.75" customHeight="1">
      <c r="A293" s="656"/>
      <c r="D293" s="657"/>
      <c r="I293" s="657"/>
    </row>
    <row r="294" ht="15.75" customHeight="1">
      <c r="A294" s="656"/>
      <c r="D294" s="657"/>
      <c r="I294" s="657"/>
    </row>
    <row r="295" ht="15.75" customHeight="1">
      <c r="A295" s="656"/>
      <c r="D295" s="657"/>
      <c r="I295" s="657"/>
    </row>
    <row r="296" ht="15.75" customHeight="1">
      <c r="A296" s="656"/>
      <c r="D296" s="657"/>
      <c r="I296" s="657"/>
    </row>
    <row r="297" ht="15.75" customHeight="1">
      <c r="A297" s="656"/>
      <c r="D297" s="657"/>
      <c r="I297" s="657"/>
    </row>
    <row r="298" ht="15.75" customHeight="1">
      <c r="A298" s="656"/>
      <c r="D298" s="657"/>
      <c r="I298" s="657"/>
    </row>
    <row r="299" ht="15.75" customHeight="1">
      <c r="A299" s="656"/>
      <c r="D299" s="657"/>
      <c r="I299" s="657"/>
    </row>
    <row r="300" ht="15.75" customHeight="1">
      <c r="A300" s="656"/>
      <c r="D300" s="657"/>
      <c r="I300" s="657"/>
    </row>
    <row r="301" ht="15.75" customHeight="1">
      <c r="A301" s="656"/>
      <c r="D301" s="657"/>
      <c r="I301" s="657"/>
    </row>
    <row r="302" ht="15.75" customHeight="1">
      <c r="A302" s="656"/>
      <c r="D302" s="657"/>
      <c r="I302" s="657"/>
    </row>
    <row r="303" ht="15.75" customHeight="1">
      <c r="A303" s="656"/>
      <c r="D303" s="657"/>
      <c r="I303" s="657"/>
    </row>
    <row r="304" ht="15.75" customHeight="1">
      <c r="A304" s="656"/>
      <c r="D304" s="657"/>
      <c r="I304" s="657"/>
    </row>
    <row r="305" ht="15.75" customHeight="1">
      <c r="A305" s="656"/>
      <c r="D305" s="657"/>
      <c r="I305" s="657"/>
    </row>
    <row r="306" ht="15.75" customHeight="1">
      <c r="A306" s="656"/>
      <c r="D306" s="657"/>
      <c r="I306" s="657"/>
    </row>
    <row r="307" ht="15.75" customHeight="1">
      <c r="A307" s="656"/>
      <c r="D307" s="657"/>
      <c r="I307" s="657"/>
    </row>
    <row r="308" ht="15.75" customHeight="1">
      <c r="A308" s="656"/>
      <c r="D308" s="657"/>
      <c r="I308" s="657"/>
    </row>
    <row r="309" ht="15.75" customHeight="1">
      <c r="A309" s="656"/>
      <c r="D309" s="657"/>
      <c r="I309" s="657"/>
    </row>
    <row r="310" ht="15.75" customHeight="1">
      <c r="A310" s="656"/>
      <c r="D310" s="657"/>
      <c r="I310" s="657"/>
    </row>
    <row r="311" ht="15.75" customHeight="1">
      <c r="A311" s="656"/>
      <c r="D311" s="657"/>
      <c r="I311" s="657"/>
    </row>
    <row r="312" ht="15.75" customHeight="1">
      <c r="A312" s="656"/>
      <c r="D312" s="657"/>
      <c r="I312" s="657"/>
    </row>
    <row r="313" ht="15.75" customHeight="1">
      <c r="A313" s="656"/>
      <c r="D313" s="657"/>
      <c r="I313" s="657"/>
    </row>
    <row r="314" ht="15.75" customHeight="1">
      <c r="A314" s="656"/>
      <c r="D314" s="657"/>
      <c r="I314" s="657"/>
    </row>
    <row r="315" ht="15.75" customHeight="1">
      <c r="A315" s="656"/>
      <c r="D315" s="657"/>
      <c r="I315" s="657"/>
    </row>
    <row r="316" ht="15.75" customHeight="1">
      <c r="A316" s="656"/>
      <c r="D316" s="657"/>
      <c r="I316" s="657"/>
    </row>
    <row r="317" ht="15.75" customHeight="1">
      <c r="A317" s="656"/>
      <c r="D317" s="657"/>
      <c r="I317" s="657"/>
    </row>
    <row r="318" ht="15.75" customHeight="1">
      <c r="A318" s="656"/>
      <c r="D318" s="657"/>
      <c r="I318" s="657"/>
    </row>
    <row r="319" ht="15.75" customHeight="1">
      <c r="A319" s="656"/>
      <c r="D319" s="657"/>
      <c r="I319" s="657"/>
    </row>
    <row r="320" ht="15.75" customHeight="1">
      <c r="A320" s="656"/>
      <c r="D320" s="657"/>
      <c r="I320" s="657"/>
    </row>
    <row r="321" ht="15.75" customHeight="1">
      <c r="A321" s="656"/>
      <c r="D321" s="657"/>
      <c r="I321" s="657"/>
    </row>
    <row r="322" ht="15.75" customHeight="1">
      <c r="A322" s="656"/>
      <c r="D322" s="657"/>
      <c r="I322" s="657"/>
    </row>
    <row r="323" ht="15.75" customHeight="1">
      <c r="A323" s="656"/>
      <c r="D323" s="657"/>
      <c r="I323" s="657"/>
    </row>
    <row r="324" ht="15.75" customHeight="1">
      <c r="A324" s="656"/>
      <c r="D324" s="657"/>
      <c r="I324" s="657"/>
    </row>
    <row r="325" ht="15.75" customHeight="1">
      <c r="A325" s="656"/>
      <c r="D325" s="657"/>
      <c r="I325" s="657"/>
    </row>
    <row r="326" ht="15.75" customHeight="1">
      <c r="A326" s="656"/>
      <c r="D326" s="657"/>
      <c r="I326" s="657"/>
    </row>
    <row r="327" ht="15.75" customHeight="1">
      <c r="A327" s="656"/>
      <c r="D327" s="657"/>
      <c r="I327" s="657"/>
    </row>
    <row r="328" ht="15.75" customHeight="1">
      <c r="A328" s="656"/>
      <c r="D328" s="657"/>
      <c r="I328" s="657"/>
    </row>
    <row r="329" ht="15.75" customHeight="1">
      <c r="A329" s="656"/>
      <c r="D329" s="657"/>
      <c r="I329" s="657"/>
    </row>
    <row r="330" ht="15.75" customHeight="1">
      <c r="A330" s="656"/>
      <c r="D330" s="657"/>
      <c r="I330" s="657"/>
    </row>
    <row r="331" ht="15.75" customHeight="1">
      <c r="A331" s="656"/>
      <c r="D331" s="657"/>
      <c r="I331" s="657"/>
    </row>
    <row r="332" ht="15.75" customHeight="1">
      <c r="A332" s="656"/>
      <c r="D332" s="657"/>
      <c r="I332" s="657"/>
    </row>
    <row r="333" ht="15.75" customHeight="1">
      <c r="A333" s="656"/>
      <c r="D333" s="657"/>
      <c r="I333" s="657"/>
    </row>
    <row r="334" ht="15.75" customHeight="1">
      <c r="A334" s="656"/>
      <c r="D334" s="657"/>
      <c r="I334" s="657"/>
    </row>
    <row r="335" ht="15.75" customHeight="1">
      <c r="A335" s="656"/>
      <c r="D335" s="657"/>
      <c r="I335" s="657"/>
    </row>
    <row r="336" ht="15.75" customHeight="1">
      <c r="A336" s="656"/>
      <c r="D336" s="657"/>
      <c r="I336" s="657"/>
    </row>
    <row r="337" ht="15.75" customHeight="1">
      <c r="A337" s="656"/>
      <c r="D337" s="657"/>
      <c r="I337" s="657"/>
    </row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25">
    <mergeCell ref="H5:I5"/>
    <mergeCell ref="H6:I6"/>
    <mergeCell ref="G7:I7"/>
    <mergeCell ref="C2:C3"/>
    <mergeCell ref="D2:D3"/>
    <mergeCell ref="E2:E3"/>
    <mergeCell ref="F2:F3"/>
    <mergeCell ref="G2:G3"/>
    <mergeCell ref="H2:H3"/>
    <mergeCell ref="I2:I3"/>
    <mergeCell ref="F20:F21"/>
    <mergeCell ref="G20:G21"/>
    <mergeCell ref="H20:H21"/>
    <mergeCell ref="I20:I21"/>
    <mergeCell ref="B2:B3"/>
    <mergeCell ref="A5:A6"/>
    <mergeCell ref="B5:B6"/>
    <mergeCell ref="B20:B21"/>
    <mergeCell ref="C20:C21"/>
    <mergeCell ref="D20:D21"/>
    <mergeCell ref="E20:E21"/>
    <mergeCell ref="A31:A32"/>
    <mergeCell ref="B31:B32"/>
    <mergeCell ref="A22:A25"/>
    <mergeCell ref="B22:B25"/>
    <mergeCell ref="D22:D23"/>
    <mergeCell ref="D24:D25"/>
    <mergeCell ref="E24:E25"/>
    <mergeCell ref="A26:A29"/>
    <mergeCell ref="B26:B29"/>
    <mergeCell ref="G31:I31"/>
    <mergeCell ref="G32:I32"/>
    <mergeCell ref="B93:B94"/>
    <mergeCell ref="A95:A96"/>
    <mergeCell ref="B95:B96"/>
    <mergeCell ref="A97:A98"/>
    <mergeCell ref="B97:B98"/>
    <mergeCell ref="A100:A101"/>
    <mergeCell ref="B100:B101"/>
    <mergeCell ref="A106:A107"/>
    <mergeCell ref="B106:B107"/>
    <mergeCell ref="A108:A109"/>
    <mergeCell ref="B108:B109"/>
    <mergeCell ref="A113:A114"/>
    <mergeCell ref="B113:B114"/>
    <mergeCell ref="B116:B117"/>
    <mergeCell ref="H118:I118"/>
    <mergeCell ref="H119:I119"/>
    <mergeCell ref="G122:I122"/>
    <mergeCell ref="G123:I123"/>
    <mergeCell ref="C116:C117"/>
    <mergeCell ref="D116:D117"/>
    <mergeCell ref="E116:E117"/>
    <mergeCell ref="F116:F117"/>
    <mergeCell ref="G116:G117"/>
    <mergeCell ref="H116:H117"/>
    <mergeCell ref="I116:I117"/>
    <mergeCell ref="E126:E127"/>
    <mergeCell ref="F126:F127"/>
    <mergeCell ref="G126:G127"/>
    <mergeCell ref="H126:H127"/>
    <mergeCell ref="I126:I127"/>
    <mergeCell ref="H128:I128"/>
    <mergeCell ref="H129:I129"/>
    <mergeCell ref="A128:A129"/>
    <mergeCell ref="B128:B129"/>
    <mergeCell ref="A130:A131"/>
    <mergeCell ref="B130:B131"/>
    <mergeCell ref="A118:A119"/>
    <mergeCell ref="B118:B119"/>
    <mergeCell ref="A120:A121"/>
    <mergeCell ref="B120:B121"/>
    <mergeCell ref="B126:B127"/>
    <mergeCell ref="C126:C127"/>
    <mergeCell ref="D126:D127"/>
    <mergeCell ref="D26:D27"/>
    <mergeCell ref="E26:E27"/>
    <mergeCell ref="G26:I26"/>
    <mergeCell ref="G27:I27"/>
    <mergeCell ref="G28:I28"/>
    <mergeCell ref="G29:I29"/>
    <mergeCell ref="G30:I30"/>
    <mergeCell ref="G68:I68"/>
    <mergeCell ref="G69:I69"/>
    <mergeCell ref="G61:G62"/>
    <mergeCell ref="H61:H62"/>
    <mergeCell ref="I61:I62"/>
    <mergeCell ref="A64:A67"/>
    <mergeCell ref="B64:B67"/>
    <mergeCell ref="A69:A70"/>
    <mergeCell ref="B69:B70"/>
    <mergeCell ref="G70:I70"/>
    <mergeCell ref="D28:D29"/>
    <mergeCell ref="E28:E29"/>
    <mergeCell ref="B61:B62"/>
    <mergeCell ref="C61:C62"/>
    <mergeCell ref="D61:D62"/>
    <mergeCell ref="E61:E62"/>
    <mergeCell ref="F61:F62"/>
    <mergeCell ref="G95:I95"/>
    <mergeCell ref="G96:I96"/>
    <mergeCell ref="G97:I97"/>
    <mergeCell ref="G98:I98"/>
    <mergeCell ref="G100:I100"/>
    <mergeCell ref="G101:I101"/>
    <mergeCell ref="C93:C94"/>
    <mergeCell ref="D93:D94"/>
    <mergeCell ref="E93:E94"/>
    <mergeCell ref="F93:F94"/>
    <mergeCell ref="G93:G94"/>
    <mergeCell ref="H93:H94"/>
    <mergeCell ref="I93:I94"/>
    <mergeCell ref="I104:I105"/>
    <mergeCell ref="H106:I106"/>
    <mergeCell ref="H107:I107"/>
    <mergeCell ref="G108:I108"/>
    <mergeCell ref="G109:I109"/>
    <mergeCell ref="G110:I110"/>
    <mergeCell ref="B104:B105"/>
    <mergeCell ref="C104:C105"/>
    <mergeCell ref="D104:D105"/>
    <mergeCell ref="E104:E105"/>
    <mergeCell ref="F104:F105"/>
    <mergeCell ref="G104:G105"/>
    <mergeCell ref="H104:H105"/>
  </mergeCells>
  <hyperlinks>
    <hyperlink r:id="rId2" ref="A63"/>
    <hyperlink r:id="rId3" ref="A64"/>
    <hyperlink r:id="rId4" ref="A68"/>
  </hyperlinks>
  <printOptions/>
  <pageMargins bottom="0.787401575" footer="0.0" header="0.0" left="0.7" right="0.7" top="0.787401575"/>
  <pageSetup orientation="landscape"/>
  <drawing r:id="rId5"/>
  <legacyDrawing r:id="rId6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11.25"/>
    <col customWidth="1" min="2" max="2" width="16.75"/>
    <col customWidth="1" min="3" max="3" width="45.38"/>
    <col customWidth="1" min="4" max="4" width="13.0"/>
    <col customWidth="1" min="5" max="7" width="11.25"/>
    <col customWidth="1" min="8" max="8" width="35.13"/>
    <col customWidth="1" min="9" max="9" width="24.0"/>
    <col customWidth="1" min="10" max="10" width="13.88"/>
    <col customWidth="1" min="11" max="11" width="15.0"/>
    <col customWidth="1" min="12" max="12" width="14.13"/>
    <col customWidth="1" min="13" max="16" width="14.88"/>
    <col customWidth="1" min="17" max="17" width="18.5"/>
    <col customWidth="1" min="18" max="18" width="16.75"/>
    <col customWidth="1" min="19" max="19" width="21.13"/>
    <col customWidth="1" min="20" max="20" width="14.88"/>
    <col customWidth="1" hidden="1" min="21" max="24" width="11.25"/>
    <col customWidth="1" min="25" max="32" width="11.25"/>
  </cols>
  <sheetData>
    <row r="1" ht="15.75" customHeight="1">
      <c r="A1" s="709"/>
      <c r="B1" s="709" t="s">
        <v>796</v>
      </c>
      <c r="C1" s="709" t="s">
        <v>797</v>
      </c>
      <c r="D1" s="709" t="s">
        <v>798</v>
      </c>
      <c r="E1" s="709" t="s">
        <v>799</v>
      </c>
      <c r="F1" s="709" t="s">
        <v>800</v>
      </c>
      <c r="G1" s="709" t="s">
        <v>801</v>
      </c>
      <c r="H1" s="709" t="s">
        <v>802</v>
      </c>
      <c r="I1" s="709" t="s">
        <v>803</v>
      </c>
      <c r="J1" s="710" t="s">
        <v>804</v>
      </c>
      <c r="K1" s="709" t="s">
        <v>805</v>
      </c>
      <c r="L1" s="709" t="s">
        <v>806</v>
      </c>
      <c r="M1" s="709" t="s">
        <v>807</v>
      </c>
      <c r="N1" s="709" t="s">
        <v>808</v>
      </c>
      <c r="O1" s="709" t="s">
        <v>809</v>
      </c>
      <c r="P1" s="709" t="s">
        <v>810</v>
      </c>
      <c r="Q1" s="709" t="s">
        <v>811</v>
      </c>
      <c r="R1" s="709" t="s">
        <v>812</v>
      </c>
      <c r="S1" s="709" t="s">
        <v>813</v>
      </c>
      <c r="T1" s="709" t="s">
        <v>814</v>
      </c>
      <c r="U1" s="709" t="s">
        <v>815</v>
      </c>
      <c r="V1" s="709" t="s">
        <v>816</v>
      </c>
      <c r="W1" s="711" t="s">
        <v>817</v>
      </c>
      <c r="X1" s="711" t="s">
        <v>818</v>
      </c>
      <c r="Y1" s="711" t="s">
        <v>819</v>
      </c>
      <c r="Z1" s="712" t="s">
        <v>820</v>
      </c>
      <c r="AA1" s="14"/>
      <c r="AB1" s="14"/>
      <c r="AC1" s="14"/>
      <c r="AD1" s="14"/>
      <c r="AE1" s="14"/>
      <c r="AF1" s="14"/>
    </row>
    <row r="2" ht="15.75" customHeight="1">
      <c r="A2" s="713"/>
      <c r="B2" s="713" t="s">
        <v>821</v>
      </c>
      <c r="C2" s="713" t="s">
        <v>822</v>
      </c>
      <c r="D2" s="713" t="s">
        <v>823</v>
      </c>
      <c r="E2" s="713"/>
      <c r="F2" s="713" t="s">
        <v>824</v>
      </c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>
        <v>8.0</v>
      </c>
      <c r="X2" s="713">
        <v>74.0</v>
      </c>
      <c r="Y2" s="714" t="s">
        <v>825</v>
      </c>
      <c r="Z2" s="713"/>
      <c r="AA2" s="713"/>
      <c r="AB2" s="713"/>
      <c r="AC2" s="713"/>
      <c r="AD2" s="713"/>
      <c r="AE2" s="713"/>
      <c r="AF2" s="713"/>
    </row>
    <row r="3" ht="15.75" customHeight="1">
      <c r="A3" s="713"/>
      <c r="B3" s="713" t="s">
        <v>826</v>
      </c>
      <c r="C3" s="713" t="s">
        <v>827</v>
      </c>
      <c r="D3" s="713" t="s">
        <v>828</v>
      </c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  <c r="W3" s="713"/>
      <c r="X3" s="713"/>
      <c r="Y3" s="714" t="s">
        <v>829</v>
      </c>
      <c r="Z3" s="713"/>
      <c r="AA3" s="713"/>
      <c r="AB3" s="713"/>
      <c r="AC3" s="713"/>
      <c r="AD3" s="713"/>
      <c r="AE3" s="713"/>
      <c r="AF3" s="713"/>
    </row>
    <row r="4" ht="15.75" customHeight="1">
      <c r="A4" s="713"/>
      <c r="B4" s="713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4" t="s">
        <v>830</v>
      </c>
      <c r="Z4" s="713"/>
      <c r="AA4" s="713"/>
      <c r="AB4" s="713"/>
      <c r="AC4" s="713"/>
      <c r="AD4" s="713"/>
      <c r="AE4" s="713"/>
      <c r="AF4" s="713"/>
    </row>
    <row r="5" ht="15.75" customHeight="1">
      <c r="A5" s="713"/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  <c r="Y5" s="714" t="s">
        <v>831</v>
      </c>
      <c r="Z5" s="713"/>
      <c r="AA5" s="713"/>
      <c r="AB5" s="713"/>
      <c r="AC5" s="713"/>
      <c r="AD5" s="713"/>
      <c r="AE5" s="713"/>
      <c r="AF5" s="713"/>
    </row>
    <row r="6" ht="15.75" customHeight="1">
      <c r="A6" s="713"/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713"/>
      <c r="O6" s="713"/>
      <c r="P6" s="713"/>
      <c r="Q6" s="713"/>
      <c r="R6" s="713"/>
      <c r="S6" s="713"/>
      <c r="T6" s="713"/>
      <c r="U6" s="713"/>
      <c r="V6" s="713"/>
      <c r="W6" s="713"/>
      <c r="X6" s="713"/>
      <c r="Y6" s="713"/>
      <c r="Z6" s="713"/>
      <c r="AA6" s="713"/>
      <c r="AB6" s="713"/>
      <c r="AC6" s="713"/>
      <c r="AD6" s="713"/>
      <c r="AE6" s="713"/>
      <c r="AF6" s="713"/>
    </row>
    <row r="7" ht="15.75" customHeight="1">
      <c r="A7" s="713"/>
      <c r="B7" s="14" t="s">
        <v>832</v>
      </c>
      <c r="C7" s="713"/>
      <c r="D7" s="14" t="s">
        <v>833</v>
      </c>
      <c r="E7" s="14"/>
      <c r="F7" s="14"/>
      <c r="G7" s="14"/>
      <c r="H7" s="14" t="s">
        <v>834</v>
      </c>
      <c r="I7" s="715">
        <v>1.8</v>
      </c>
      <c r="J7" s="18">
        <f>I7/L7</f>
        <v>0.00238315901</v>
      </c>
      <c r="K7" s="14" t="s">
        <v>835</v>
      </c>
      <c r="L7" s="716">
        <v>755.3</v>
      </c>
      <c r="M7" s="14"/>
      <c r="N7" s="18">
        <f>0.4232/I7</f>
        <v>0.2351111111</v>
      </c>
      <c r="O7" s="18">
        <f>1.026/I7</f>
        <v>0.57</v>
      </c>
      <c r="P7" s="14"/>
      <c r="Q7" s="14"/>
      <c r="R7" s="14"/>
      <c r="S7" s="14"/>
      <c r="T7" s="18">
        <v>0.029</v>
      </c>
      <c r="U7" s="14"/>
      <c r="V7" s="14"/>
      <c r="W7" s="14"/>
      <c r="X7" s="14"/>
      <c r="Y7" s="88" t="s">
        <v>836</v>
      </c>
      <c r="Z7" s="14"/>
      <c r="AA7" s="14"/>
      <c r="AB7" s="14"/>
      <c r="AC7" s="14"/>
      <c r="AD7" s="14"/>
      <c r="AE7" s="14"/>
      <c r="AF7" s="14"/>
    </row>
    <row r="8" ht="15.75" customHeight="1">
      <c r="A8" s="713"/>
      <c r="B8" s="14"/>
      <c r="C8" s="14" t="s">
        <v>837</v>
      </c>
      <c r="D8" s="14" t="s">
        <v>838</v>
      </c>
      <c r="E8" s="14"/>
      <c r="F8" s="14"/>
      <c r="G8" s="14"/>
      <c r="I8" s="715">
        <v>17.4</v>
      </c>
      <c r="J8" s="18"/>
      <c r="K8" s="24">
        <v>102.3</v>
      </c>
      <c r="L8" s="716"/>
      <c r="M8" s="14"/>
      <c r="N8" s="18">
        <f>2/I8</f>
        <v>0.1149425287</v>
      </c>
      <c r="O8" s="18">
        <f>(3.9+4.7)/I8</f>
        <v>0.4942528736</v>
      </c>
      <c r="P8" s="14"/>
      <c r="Q8" s="14"/>
      <c r="R8" s="14"/>
      <c r="S8" s="14"/>
      <c r="T8" s="14"/>
      <c r="U8" s="14"/>
      <c r="V8" s="14"/>
      <c r="W8" s="14"/>
      <c r="X8" s="14"/>
      <c r="Y8" s="88" t="s">
        <v>839</v>
      </c>
      <c r="Z8" s="14"/>
      <c r="AA8" s="14"/>
      <c r="AB8" s="14"/>
      <c r="AC8" s="14"/>
      <c r="AD8" s="14"/>
      <c r="AE8" s="14"/>
      <c r="AF8" s="14"/>
    </row>
    <row r="9" ht="15.75" customHeight="1">
      <c r="A9" s="713"/>
      <c r="C9" s="713"/>
      <c r="D9" s="14"/>
      <c r="E9" s="14"/>
      <c r="F9" s="14"/>
      <c r="G9" s="14"/>
      <c r="I9" s="715"/>
      <c r="J9" s="18"/>
      <c r="K9" s="14"/>
      <c r="L9" s="716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Z9" s="14"/>
      <c r="AA9" s="14"/>
      <c r="AB9" s="14"/>
      <c r="AC9" s="14"/>
      <c r="AD9" s="14"/>
      <c r="AE9" s="14"/>
      <c r="AF9" s="14"/>
    </row>
    <row r="10" ht="15.75" customHeight="1">
      <c r="A10" s="713"/>
      <c r="C10" s="713"/>
      <c r="D10" s="14"/>
      <c r="E10" s="14"/>
      <c r="F10" s="14"/>
      <c r="G10" s="14"/>
      <c r="I10" s="715"/>
      <c r="J10" s="18"/>
      <c r="K10" s="14"/>
      <c r="L10" s="71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Z10" s="14"/>
      <c r="AA10" s="14"/>
      <c r="AB10" s="14"/>
      <c r="AC10" s="14"/>
      <c r="AD10" s="14"/>
      <c r="AE10" s="14"/>
      <c r="AF10" s="14"/>
    </row>
    <row r="11" ht="15.75" customHeight="1">
      <c r="A11" s="713"/>
      <c r="B11" s="14"/>
      <c r="C11" s="713"/>
      <c r="D11" s="14"/>
      <c r="E11" s="14"/>
      <c r="F11" s="14"/>
      <c r="G11" s="14"/>
      <c r="I11" s="715"/>
      <c r="J11" s="18"/>
      <c r="K11" s="14"/>
      <c r="L11" s="71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Z11" s="14"/>
      <c r="AA11" s="14"/>
      <c r="AB11" s="14"/>
      <c r="AC11" s="14"/>
      <c r="AD11" s="14"/>
      <c r="AE11" s="14"/>
      <c r="AF11" s="14"/>
    </row>
    <row r="12" ht="15.75" customHeight="1">
      <c r="A12" s="713"/>
      <c r="B12" s="14"/>
      <c r="C12" s="713"/>
      <c r="D12" s="14"/>
      <c r="E12" s="14"/>
      <c r="F12" s="14"/>
      <c r="G12" s="14"/>
      <c r="I12" s="715"/>
      <c r="J12" s="18"/>
      <c r="K12" s="14"/>
      <c r="L12" s="716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Z12" s="14"/>
      <c r="AA12" s="14"/>
      <c r="AB12" s="14"/>
      <c r="AC12" s="14"/>
      <c r="AD12" s="14"/>
      <c r="AE12" s="14"/>
      <c r="AF12" s="14"/>
    </row>
    <row r="13" ht="15.75" customHeight="1">
      <c r="A13" s="713" t="s">
        <v>826</v>
      </c>
      <c r="B13" s="14" t="s">
        <v>840</v>
      </c>
      <c r="C13" s="713" t="s">
        <v>841</v>
      </c>
      <c r="D13" s="14" t="s">
        <v>842</v>
      </c>
      <c r="E13" s="14" t="s">
        <v>843</v>
      </c>
      <c r="F13" s="14" t="s">
        <v>70</v>
      </c>
      <c r="G13" s="14"/>
      <c r="I13" s="715"/>
      <c r="J13" s="18">
        <f>I13/L13</f>
        <v>0</v>
      </c>
      <c r="K13" s="14"/>
      <c r="L13" s="716">
        <v>1399.39</v>
      </c>
      <c r="M13" s="14" t="s">
        <v>844</v>
      </c>
      <c r="N13" s="14"/>
      <c r="O13" s="14"/>
      <c r="P13" s="14"/>
      <c r="Q13" s="14"/>
      <c r="R13" s="14"/>
      <c r="S13" s="14"/>
      <c r="T13" s="14"/>
      <c r="U13" s="14" t="s">
        <v>845</v>
      </c>
      <c r="V13" s="14" t="s">
        <v>846</v>
      </c>
      <c r="W13" s="14"/>
      <c r="X13" s="14"/>
      <c r="Y13" s="88" t="s">
        <v>847</v>
      </c>
      <c r="Z13" s="14"/>
      <c r="AA13" s="14"/>
      <c r="AB13" s="14"/>
      <c r="AC13" s="14"/>
      <c r="AD13" s="14"/>
      <c r="AE13" s="14"/>
      <c r="AF13" s="14"/>
    </row>
    <row r="14" ht="15.75" customHeight="1">
      <c r="A14" s="713" t="s">
        <v>826</v>
      </c>
      <c r="B14" s="14" t="s">
        <v>848</v>
      </c>
      <c r="C14" s="713" t="s">
        <v>849</v>
      </c>
      <c r="D14" s="14" t="s">
        <v>92</v>
      </c>
      <c r="E14" s="14" t="s">
        <v>850</v>
      </c>
      <c r="F14" s="14" t="s">
        <v>70</v>
      </c>
      <c r="G14" s="14"/>
      <c r="H14" s="14" t="s">
        <v>851</v>
      </c>
      <c r="I14" s="717" t="s">
        <v>70</v>
      </c>
      <c r="J14" s="717"/>
      <c r="K14" s="717"/>
      <c r="L14" s="717"/>
      <c r="M14" s="717"/>
      <c r="N14" s="717"/>
      <c r="O14" s="717"/>
      <c r="P14" s="717"/>
      <c r="Q14" s="717"/>
      <c r="R14" s="717"/>
      <c r="S14" s="717"/>
      <c r="T14" s="717"/>
      <c r="U14" s="14" t="s">
        <v>852</v>
      </c>
      <c r="V14" s="14" t="s">
        <v>853</v>
      </c>
      <c r="W14" s="14"/>
      <c r="X14" s="14"/>
      <c r="Y14" s="88" t="s">
        <v>854</v>
      </c>
      <c r="Z14" s="14" t="s">
        <v>855</v>
      </c>
      <c r="AA14" s="14"/>
      <c r="AB14" s="14"/>
      <c r="AC14" s="14"/>
      <c r="AD14" s="14"/>
      <c r="AE14" s="14"/>
      <c r="AF14" s="14"/>
    </row>
    <row r="15" ht="15.75" customHeight="1">
      <c r="A15" s="713" t="s">
        <v>826</v>
      </c>
      <c r="B15" s="14" t="s">
        <v>856</v>
      </c>
      <c r="C15" s="713" t="s">
        <v>857</v>
      </c>
      <c r="D15" s="14" t="s">
        <v>858</v>
      </c>
      <c r="E15" s="14" t="s">
        <v>70</v>
      </c>
      <c r="F15" s="14" t="s">
        <v>859</v>
      </c>
      <c r="G15" s="14"/>
      <c r="H15" s="14" t="s">
        <v>860</v>
      </c>
      <c r="I15" s="715">
        <v>8.65</v>
      </c>
      <c r="J15" s="18">
        <f t="shared" ref="J15:J29" si="1">I15/L15</f>
        <v>0.0005340495153</v>
      </c>
      <c r="K15" s="14"/>
      <c r="L15" s="718">
        <v>16197.0</v>
      </c>
      <c r="M15" s="14"/>
      <c r="N15" s="14"/>
      <c r="O15" s="14"/>
      <c r="P15" s="14"/>
      <c r="Q15" s="14"/>
      <c r="R15" s="14"/>
      <c r="S15" s="14"/>
      <c r="T15" s="14"/>
      <c r="U15" s="14" t="s">
        <v>861</v>
      </c>
      <c r="V15" s="14" t="s">
        <v>846</v>
      </c>
      <c r="W15" s="14"/>
      <c r="X15" s="14"/>
      <c r="Y15" s="88" t="s">
        <v>862</v>
      </c>
      <c r="Z15" s="14"/>
      <c r="AA15" s="14"/>
      <c r="AB15" s="14"/>
      <c r="AC15" s="14"/>
      <c r="AD15" s="14"/>
      <c r="AE15" s="14"/>
      <c r="AF15" s="14"/>
    </row>
    <row r="16" ht="15.75" customHeight="1">
      <c r="A16" s="713" t="s">
        <v>826</v>
      </c>
      <c r="B16" s="14" t="s">
        <v>863</v>
      </c>
      <c r="C16" s="713" t="s">
        <v>864</v>
      </c>
      <c r="D16" s="14" t="s">
        <v>865</v>
      </c>
      <c r="E16" s="14" t="s">
        <v>866</v>
      </c>
      <c r="F16" s="14" t="s">
        <v>70</v>
      </c>
      <c r="G16" s="14"/>
      <c r="H16" s="14" t="s">
        <v>867</v>
      </c>
      <c r="I16" s="719">
        <v>2.1</v>
      </c>
      <c r="J16" s="18">
        <f t="shared" si="1"/>
        <v>0.0007492507493</v>
      </c>
      <c r="K16" s="14"/>
      <c r="L16" s="47">
        <v>2802.8</v>
      </c>
      <c r="M16" s="14" t="s">
        <v>868</v>
      </c>
      <c r="N16" s="18">
        <v>0.011</v>
      </c>
      <c r="O16" s="18">
        <v>0.347</v>
      </c>
      <c r="P16" s="18">
        <v>0.002</v>
      </c>
      <c r="Q16" s="14"/>
      <c r="R16" s="18">
        <v>0.016</v>
      </c>
      <c r="S16" s="720">
        <v>0.11</v>
      </c>
      <c r="T16" s="720"/>
      <c r="U16" s="14" t="s">
        <v>869</v>
      </c>
      <c r="V16" s="14" t="s">
        <v>870</v>
      </c>
      <c r="W16" s="14"/>
      <c r="X16" s="14"/>
      <c r="Y16" s="88" t="s">
        <v>871</v>
      </c>
      <c r="Z16" s="14"/>
      <c r="AA16" s="14"/>
      <c r="AB16" s="14"/>
      <c r="AC16" s="14"/>
      <c r="AD16" s="14"/>
      <c r="AE16" s="14"/>
      <c r="AF16" s="14"/>
    </row>
    <row r="17" ht="15.75" customHeight="1">
      <c r="A17" s="713" t="s">
        <v>826</v>
      </c>
      <c r="B17" s="14" t="s">
        <v>872</v>
      </c>
      <c r="C17" s="713" t="s">
        <v>873</v>
      </c>
      <c r="D17" s="14" t="s">
        <v>874</v>
      </c>
      <c r="E17" s="14" t="s">
        <v>875</v>
      </c>
      <c r="F17" s="14" t="s">
        <v>70</v>
      </c>
      <c r="G17" s="14"/>
      <c r="H17" s="14" t="s">
        <v>876</v>
      </c>
      <c r="I17" s="715">
        <v>209.7</v>
      </c>
      <c r="J17" s="18">
        <f t="shared" si="1"/>
        <v>0.01601533562</v>
      </c>
      <c r="K17" s="14"/>
      <c r="L17" s="47">
        <v>13093.7</v>
      </c>
      <c r="M17" s="14"/>
      <c r="N17" s="14"/>
      <c r="O17" s="14"/>
      <c r="P17" s="14"/>
      <c r="Q17" s="14"/>
      <c r="R17" s="14"/>
      <c r="S17" s="14"/>
      <c r="T17" s="14"/>
      <c r="U17" s="14" t="s">
        <v>877</v>
      </c>
      <c r="V17" s="14" t="s">
        <v>878</v>
      </c>
      <c r="W17" s="14"/>
      <c r="X17" s="14"/>
      <c r="Y17" s="88" t="s">
        <v>879</v>
      </c>
      <c r="Z17" s="14"/>
      <c r="AA17" s="14"/>
      <c r="AB17" s="14"/>
      <c r="AC17" s="14"/>
      <c r="AD17" s="14"/>
      <c r="AE17" s="14"/>
      <c r="AF17" s="14"/>
    </row>
    <row r="18" ht="15.75" customHeight="1">
      <c r="A18" s="713" t="s">
        <v>826</v>
      </c>
      <c r="B18" s="14" t="s">
        <v>880</v>
      </c>
      <c r="C18" s="713" t="s">
        <v>873</v>
      </c>
      <c r="D18" s="14" t="s">
        <v>881</v>
      </c>
      <c r="E18" s="14" t="s">
        <v>882</v>
      </c>
      <c r="F18" s="14" t="s">
        <v>70</v>
      </c>
      <c r="G18" s="14"/>
      <c r="H18" s="14" t="s">
        <v>883</v>
      </c>
      <c r="I18" s="719">
        <v>0.2696</v>
      </c>
      <c r="J18" s="18">
        <f t="shared" si="1"/>
        <v>0.00009062794137</v>
      </c>
      <c r="K18" s="14"/>
      <c r="L18" s="47">
        <v>2974.8</v>
      </c>
      <c r="M18" s="14" t="s">
        <v>868</v>
      </c>
      <c r="N18" s="18">
        <v>0.055</v>
      </c>
      <c r="O18" s="18">
        <v>0.415</v>
      </c>
      <c r="P18" s="18">
        <v>0.067</v>
      </c>
      <c r="Q18" s="18">
        <v>0.047</v>
      </c>
      <c r="R18" s="18">
        <v>0.014</v>
      </c>
      <c r="S18" s="18">
        <v>0.066</v>
      </c>
      <c r="T18" s="18">
        <v>0.301</v>
      </c>
      <c r="U18" s="14" t="s">
        <v>884</v>
      </c>
      <c r="V18" s="14" t="s">
        <v>870</v>
      </c>
      <c r="W18" s="14"/>
      <c r="X18" s="14"/>
      <c r="Y18" s="88" t="s">
        <v>885</v>
      </c>
      <c r="Z18" s="14"/>
      <c r="AA18" s="14"/>
      <c r="AB18" s="14"/>
      <c r="AC18" s="14"/>
      <c r="AD18" s="14"/>
      <c r="AE18" s="14"/>
      <c r="AF18" s="14"/>
    </row>
    <row r="19" ht="15.75" customHeight="1">
      <c r="A19" s="713" t="s">
        <v>826</v>
      </c>
      <c r="B19" s="14" t="s">
        <v>886</v>
      </c>
      <c r="C19" s="713" t="s">
        <v>864</v>
      </c>
      <c r="D19" s="14" t="s">
        <v>887</v>
      </c>
      <c r="E19" s="14" t="s">
        <v>888</v>
      </c>
      <c r="F19" s="14" t="s">
        <v>70</v>
      </c>
      <c r="G19" s="14"/>
      <c r="H19" s="14" t="s">
        <v>889</v>
      </c>
      <c r="I19" s="717" t="s">
        <v>890</v>
      </c>
      <c r="J19" s="18" t="str">
        <f t="shared" si="1"/>
        <v>#VALUE!</v>
      </c>
      <c r="K19" s="717"/>
      <c r="L19" s="717"/>
      <c r="M19" s="717"/>
      <c r="N19" s="717"/>
      <c r="O19" s="717"/>
      <c r="P19" s="717"/>
      <c r="Q19" s="717"/>
      <c r="R19" s="717"/>
      <c r="S19" s="717"/>
      <c r="T19" s="717"/>
      <c r="U19" s="14" t="s">
        <v>891</v>
      </c>
      <c r="V19" s="14" t="s">
        <v>892</v>
      </c>
      <c r="W19" s="14"/>
      <c r="X19" s="14"/>
      <c r="Y19" s="88" t="s">
        <v>893</v>
      </c>
      <c r="Z19" s="14" t="s">
        <v>894</v>
      </c>
      <c r="AA19" s="14"/>
      <c r="AB19" s="14"/>
      <c r="AC19" s="14"/>
      <c r="AD19" s="14"/>
      <c r="AE19" s="14"/>
      <c r="AF19" s="14"/>
    </row>
    <row r="20" ht="15.75" customHeight="1">
      <c r="A20" s="713" t="s">
        <v>826</v>
      </c>
      <c r="B20" s="14" t="s">
        <v>895</v>
      </c>
      <c r="C20" s="713" t="s">
        <v>896</v>
      </c>
      <c r="D20" s="14" t="s">
        <v>897</v>
      </c>
      <c r="E20" s="14" t="s">
        <v>898</v>
      </c>
      <c r="F20" s="14" t="s">
        <v>899</v>
      </c>
      <c r="G20" s="14"/>
      <c r="H20" s="14" t="s">
        <v>900</v>
      </c>
      <c r="I20" s="721">
        <v>63.04</v>
      </c>
      <c r="J20" s="18">
        <f t="shared" si="1"/>
        <v>0.02067630949</v>
      </c>
      <c r="K20" s="14"/>
      <c r="L20" s="47">
        <v>3048.9</v>
      </c>
      <c r="M20" s="14"/>
      <c r="N20" s="14"/>
      <c r="O20" s="14"/>
      <c r="P20" s="14"/>
      <c r="Q20" s="14"/>
      <c r="R20" s="14"/>
      <c r="S20" s="14"/>
      <c r="T20" s="14"/>
      <c r="U20" s="14" t="s">
        <v>901</v>
      </c>
      <c r="V20" s="14" t="s">
        <v>846</v>
      </c>
      <c r="W20" s="14"/>
      <c r="X20" s="14"/>
      <c r="Y20" s="88" t="s">
        <v>902</v>
      </c>
      <c r="Z20" s="14" t="s">
        <v>903</v>
      </c>
      <c r="AA20" s="14"/>
      <c r="AB20" s="14"/>
      <c r="AC20" s="14"/>
      <c r="AD20" s="14"/>
      <c r="AE20" s="14"/>
      <c r="AF20" s="14"/>
    </row>
    <row r="21" ht="15.75" customHeight="1">
      <c r="A21" s="713" t="s">
        <v>826</v>
      </c>
      <c r="B21" s="14" t="s">
        <v>904</v>
      </c>
      <c r="C21" s="713" t="s">
        <v>896</v>
      </c>
      <c r="D21" s="14" t="s">
        <v>905</v>
      </c>
      <c r="E21" s="14" t="s">
        <v>906</v>
      </c>
      <c r="F21" s="14" t="s">
        <v>907</v>
      </c>
      <c r="G21" s="14"/>
      <c r="H21" s="14" t="s">
        <v>908</v>
      </c>
      <c r="I21" s="722">
        <v>1.786</v>
      </c>
      <c r="J21" s="18">
        <f t="shared" si="1"/>
        <v>0.001631348191</v>
      </c>
      <c r="K21" s="14"/>
      <c r="L21" s="47">
        <v>1094.8</v>
      </c>
      <c r="M21" s="14" t="s">
        <v>909</v>
      </c>
      <c r="N21" s="14"/>
      <c r="O21" s="14"/>
      <c r="P21" s="14"/>
      <c r="Q21" s="14"/>
      <c r="R21" s="14"/>
      <c r="S21" s="14"/>
      <c r="T21" s="14"/>
      <c r="U21" s="14" t="s">
        <v>910</v>
      </c>
      <c r="V21" s="14" t="s">
        <v>911</v>
      </c>
      <c r="W21" s="14"/>
      <c r="X21" s="14"/>
      <c r="Y21" s="88" t="s">
        <v>912</v>
      </c>
      <c r="Z21" s="14" t="s">
        <v>913</v>
      </c>
      <c r="AA21" s="14"/>
      <c r="AB21" s="14"/>
      <c r="AC21" s="14"/>
      <c r="AD21" s="14"/>
      <c r="AE21" s="14"/>
      <c r="AF21" s="14"/>
    </row>
    <row r="22" ht="15.75" customHeight="1">
      <c r="A22" s="713" t="s">
        <v>826</v>
      </c>
      <c r="B22" s="14" t="s">
        <v>914</v>
      </c>
      <c r="C22" s="713" t="s">
        <v>896</v>
      </c>
      <c r="D22" s="14" t="s">
        <v>915</v>
      </c>
      <c r="E22" s="14" t="s">
        <v>916</v>
      </c>
      <c r="F22" s="14" t="s">
        <v>917</v>
      </c>
      <c r="G22" s="14"/>
      <c r="H22" s="14" t="s">
        <v>918</v>
      </c>
      <c r="I22" s="723">
        <v>9.873</v>
      </c>
      <c r="J22" s="18">
        <f t="shared" si="1"/>
        <v>0.004469038566</v>
      </c>
      <c r="K22" s="14"/>
      <c r="L22" s="47">
        <v>2209.2</v>
      </c>
      <c r="M22" s="14" t="s">
        <v>919</v>
      </c>
      <c r="N22" s="14"/>
      <c r="O22" s="18">
        <v>0.399</v>
      </c>
      <c r="P22" s="14"/>
      <c r="Q22" s="18">
        <v>0.035</v>
      </c>
      <c r="R22" s="14"/>
      <c r="S22" s="14"/>
      <c r="T22" s="18">
        <v>0.254</v>
      </c>
      <c r="U22" s="14" t="s">
        <v>920</v>
      </c>
      <c r="V22" s="14" t="s">
        <v>921</v>
      </c>
      <c r="W22" s="14"/>
      <c r="X22" s="14"/>
      <c r="Y22" s="88" t="s">
        <v>922</v>
      </c>
      <c r="Z22" s="14"/>
      <c r="AA22" s="14"/>
      <c r="AB22" s="14"/>
      <c r="AC22" s="14"/>
      <c r="AD22" s="14"/>
      <c r="AE22" s="14"/>
      <c r="AF22" s="14"/>
    </row>
    <row r="23" ht="15.75" customHeight="1">
      <c r="A23" s="713" t="s">
        <v>826</v>
      </c>
      <c r="B23" s="14" t="s">
        <v>923</v>
      </c>
      <c r="C23" s="713" t="s">
        <v>924</v>
      </c>
      <c r="D23" s="14" t="s">
        <v>925</v>
      </c>
      <c r="E23" s="14" t="s">
        <v>926</v>
      </c>
      <c r="F23" s="14" t="s">
        <v>70</v>
      </c>
      <c r="G23" s="14"/>
      <c r="H23" s="14" t="s">
        <v>927</v>
      </c>
      <c r="I23" s="717"/>
      <c r="J23" s="18" t="str">
        <f t="shared" si="1"/>
        <v>#DIV/0!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 t="s">
        <v>928</v>
      </c>
      <c r="V23" s="14" t="s">
        <v>929</v>
      </c>
      <c r="W23" s="14"/>
      <c r="X23" s="14"/>
      <c r="Y23" s="88" t="s">
        <v>930</v>
      </c>
      <c r="Z23" s="14"/>
      <c r="AA23" s="14"/>
      <c r="AB23" s="14"/>
      <c r="AC23" s="14"/>
      <c r="AD23" s="14"/>
      <c r="AE23" s="14"/>
      <c r="AF23" s="14"/>
    </row>
    <row r="24" ht="15.75" customHeight="1">
      <c r="A24" s="713" t="s">
        <v>826</v>
      </c>
      <c r="B24" s="14" t="s">
        <v>931</v>
      </c>
      <c r="C24" s="713" t="s">
        <v>932</v>
      </c>
      <c r="D24" s="14" t="s">
        <v>933</v>
      </c>
      <c r="E24" s="14" t="s">
        <v>934</v>
      </c>
      <c r="F24" s="14" t="s">
        <v>935</v>
      </c>
      <c r="G24" s="14"/>
      <c r="H24" s="14" t="s">
        <v>936</v>
      </c>
      <c r="I24" s="719">
        <v>23.3</v>
      </c>
      <c r="J24" s="18">
        <f t="shared" si="1"/>
        <v>0.01537152244</v>
      </c>
      <c r="K24" s="14"/>
      <c r="L24" s="47">
        <v>1515.79</v>
      </c>
      <c r="M24" s="14" t="s">
        <v>937</v>
      </c>
      <c r="N24" s="14"/>
      <c r="O24" s="14"/>
      <c r="P24" s="14"/>
      <c r="Q24" s="14"/>
      <c r="R24" s="14"/>
      <c r="S24" s="14"/>
      <c r="T24" s="14"/>
      <c r="U24" s="14" t="s">
        <v>938</v>
      </c>
      <c r="V24" s="14" t="s">
        <v>870</v>
      </c>
      <c r="W24" s="14"/>
      <c r="X24" s="14"/>
      <c r="Y24" s="88" t="s">
        <v>939</v>
      </c>
      <c r="Z24" s="14" t="s">
        <v>940</v>
      </c>
      <c r="AA24" s="14"/>
      <c r="AB24" s="14"/>
      <c r="AC24" s="14"/>
      <c r="AD24" s="14"/>
      <c r="AE24" s="14"/>
      <c r="AF24" s="14"/>
    </row>
    <row r="25" ht="15.75" customHeight="1">
      <c r="A25" s="713" t="s">
        <v>826</v>
      </c>
      <c r="B25" s="14" t="s">
        <v>941</v>
      </c>
      <c r="C25" s="713" t="s">
        <v>896</v>
      </c>
      <c r="D25" s="14" t="s">
        <v>942</v>
      </c>
      <c r="E25" s="14" t="s">
        <v>943</v>
      </c>
      <c r="F25" s="14" t="s">
        <v>917</v>
      </c>
      <c r="G25" s="14"/>
      <c r="H25" s="14" t="s">
        <v>944</v>
      </c>
      <c r="I25" s="724">
        <v>12.235</v>
      </c>
      <c r="J25" s="18">
        <f t="shared" si="1"/>
        <v>0.004776125229</v>
      </c>
      <c r="K25" s="14"/>
      <c r="L25" s="47">
        <v>2561.7</v>
      </c>
      <c r="M25" s="14" t="s">
        <v>945</v>
      </c>
      <c r="N25" s="14"/>
      <c r="O25" s="14"/>
      <c r="P25" s="14"/>
      <c r="Q25" s="14"/>
      <c r="R25" s="14"/>
      <c r="S25" s="14"/>
      <c r="T25" s="14"/>
      <c r="U25" s="14" t="s">
        <v>920</v>
      </c>
      <c r="V25" s="14" t="s">
        <v>870</v>
      </c>
      <c r="W25" s="14"/>
      <c r="X25" s="14"/>
      <c r="Y25" s="88" t="s">
        <v>946</v>
      </c>
      <c r="Z25" s="14" t="s">
        <v>947</v>
      </c>
      <c r="AA25" s="14"/>
      <c r="AB25" s="14"/>
      <c r="AC25" s="14"/>
      <c r="AD25" s="14"/>
      <c r="AE25" s="14"/>
      <c r="AF25" s="14"/>
    </row>
    <row r="26" ht="15.75" customHeight="1">
      <c r="A26" s="713" t="s">
        <v>826</v>
      </c>
      <c r="B26" s="14" t="s">
        <v>948</v>
      </c>
      <c r="C26" s="713" t="s">
        <v>857</v>
      </c>
      <c r="D26" s="14" t="s">
        <v>925</v>
      </c>
      <c r="E26" s="14" t="s">
        <v>70</v>
      </c>
      <c r="F26" s="14" t="s">
        <v>949</v>
      </c>
      <c r="G26" s="14"/>
      <c r="H26" s="14" t="s">
        <v>950</v>
      </c>
      <c r="I26" s="717" t="s">
        <v>70</v>
      </c>
      <c r="J26" s="18" t="str">
        <f t="shared" si="1"/>
        <v>#VALUE!</v>
      </c>
      <c r="K26" s="717"/>
      <c r="L26" s="717"/>
      <c r="M26" s="14" t="s">
        <v>919</v>
      </c>
      <c r="N26" s="14"/>
      <c r="O26" s="14"/>
      <c r="P26" s="14"/>
      <c r="Q26" s="14"/>
      <c r="R26" s="14"/>
      <c r="S26" s="14"/>
      <c r="T26" s="14"/>
      <c r="U26" s="14" t="s">
        <v>951</v>
      </c>
      <c r="V26" s="14" t="s">
        <v>892</v>
      </c>
      <c r="W26" s="14"/>
      <c r="X26" s="14"/>
      <c r="Y26" s="88" t="s">
        <v>952</v>
      </c>
      <c r="Z26" s="14" t="s">
        <v>953</v>
      </c>
      <c r="AA26" s="14"/>
      <c r="AB26" s="14"/>
      <c r="AC26" s="14"/>
      <c r="AD26" s="14"/>
      <c r="AE26" s="14"/>
      <c r="AF26" s="14"/>
    </row>
    <row r="27" ht="15.75" customHeight="1">
      <c r="A27" s="713" t="s">
        <v>826</v>
      </c>
      <c r="B27" s="14" t="s">
        <v>954</v>
      </c>
      <c r="C27" s="713" t="s">
        <v>955</v>
      </c>
      <c r="D27" s="14" t="s">
        <v>956</v>
      </c>
      <c r="E27" s="14" t="s">
        <v>70</v>
      </c>
      <c r="F27" s="14" t="s">
        <v>70</v>
      </c>
      <c r="G27" s="14"/>
      <c r="H27" s="14" t="s">
        <v>957</v>
      </c>
      <c r="I27" s="721">
        <v>5.1</v>
      </c>
      <c r="J27" s="18">
        <f t="shared" si="1"/>
        <v>0.002073002195</v>
      </c>
      <c r="K27" s="14"/>
      <c r="L27" s="47">
        <v>2460.2</v>
      </c>
      <c r="M27" s="14" t="s">
        <v>958</v>
      </c>
      <c r="N27" s="14"/>
      <c r="O27" s="14"/>
      <c r="P27" s="14"/>
      <c r="Q27" s="14"/>
      <c r="R27" s="14"/>
      <c r="S27" s="14"/>
      <c r="T27" s="14"/>
      <c r="U27" s="14" t="s">
        <v>959</v>
      </c>
      <c r="V27" s="14" t="s">
        <v>870</v>
      </c>
      <c r="W27" s="14"/>
      <c r="X27" s="14"/>
      <c r="Y27" s="88" t="s">
        <v>960</v>
      </c>
      <c r="Z27" s="14"/>
      <c r="AA27" s="14"/>
      <c r="AB27" s="14"/>
      <c r="AC27" s="14"/>
      <c r="AD27" s="14"/>
      <c r="AE27" s="14"/>
      <c r="AF27" s="14"/>
    </row>
    <row r="28" ht="15.75" customHeight="1">
      <c r="A28" s="713"/>
      <c r="B28" s="14"/>
      <c r="C28" s="713"/>
      <c r="D28" s="14" t="s">
        <v>961</v>
      </c>
      <c r="E28" s="14"/>
      <c r="F28" s="14"/>
      <c r="G28" s="14"/>
      <c r="H28" s="725" t="s">
        <v>962</v>
      </c>
      <c r="I28" s="721">
        <v>0.5283</v>
      </c>
      <c r="J28" s="18">
        <f t="shared" si="1"/>
        <v>0.0008555465587</v>
      </c>
      <c r="K28" s="14"/>
      <c r="L28" s="726">
        <v>617.5</v>
      </c>
      <c r="M28" s="14"/>
      <c r="N28" s="14"/>
      <c r="O28" s="14"/>
      <c r="P28" s="14"/>
      <c r="Q28" s="14"/>
      <c r="R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ht="15.75" customHeight="1">
      <c r="A29" s="713"/>
      <c r="B29" s="14"/>
      <c r="C29" s="713"/>
      <c r="D29" s="14" t="s">
        <v>963</v>
      </c>
      <c r="E29" s="14"/>
      <c r="F29" s="14"/>
      <c r="G29" s="14"/>
      <c r="H29" s="725" t="s">
        <v>964</v>
      </c>
      <c r="I29" s="721">
        <v>0.1083</v>
      </c>
      <c r="J29" s="18">
        <f t="shared" si="1"/>
        <v>0.0003888689408</v>
      </c>
      <c r="K29" s="14"/>
      <c r="L29" s="14">
        <v>278.5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ht="15.75" customHeight="1">
      <c r="A30" s="713" t="s">
        <v>826</v>
      </c>
      <c r="B30" s="14" t="s">
        <v>965</v>
      </c>
      <c r="C30" s="713" t="s">
        <v>966</v>
      </c>
      <c r="D30" s="14" t="s">
        <v>967</v>
      </c>
      <c r="E30" s="14" t="s">
        <v>968</v>
      </c>
      <c r="F30" s="14" t="s">
        <v>70</v>
      </c>
      <c r="G30" s="14"/>
      <c r="H30" s="14" t="s">
        <v>969</v>
      </c>
      <c r="I30" s="717" t="s">
        <v>70</v>
      </c>
      <c r="J30" s="717"/>
      <c r="K30" s="717"/>
      <c r="L30" s="717"/>
      <c r="M30" s="717"/>
      <c r="N30" s="717"/>
      <c r="O30" s="717"/>
      <c r="P30" s="717"/>
      <c r="Q30" s="717"/>
      <c r="R30" s="717"/>
      <c r="S30" s="717"/>
      <c r="T30" s="717"/>
      <c r="U30" s="14" t="s">
        <v>970</v>
      </c>
      <c r="V30" s="14" t="s">
        <v>971</v>
      </c>
      <c r="W30" s="14"/>
      <c r="X30" s="14"/>
      <c r="Y30" s="88" t="s">
        <v>972</v>
      </c>
      <c r="Z30" s="14" t="s">
        <v>973</v>
      </c>
      <c r="AA30" s="14"/>
      <c r="AB30" s="14"/>
      <c r="AC30" s="14"/>
      <c r="AD30" s="14"/>
      <c r="AE30" s="14"/>
      <c r="AF30" s="14"/>
    </row>
    <row r="31" ht="15.75" customHeight="1">
      <c r="A31" s="713" t="s">
        <v>826</v>
      </c>
      <c r="B31" s="14" t="s">
        <v>974</v>
      </c>
      <c r="C31" s="713" t="s">
        <v>975</v>
      </c>
      <c r="D31" s="14" t="s">
        <v>976</v>
      </c>
      <c r="E31" s="14" t="s">
        <v>70</v>
      </c>
      <c r="F31" s="14" t="s">
        <v>977</v>
      </c>
      <c r="G31" s="14"/>
      <c r="H31" s="14" t="s">
        <v>978</v>
      </c>
      <c r="I31" s="717" t="s">
        <v>70</v>
      </c>
      <c r="J31" s="717"/>
      <c r="K31" s="717"/>
      <c r="L31" s="717"/>
      <c r="M31" s="717"/>
      <c r="N31" s="717"/>
      <c r="O31" s="717"/>
      <c r="P31" s="717"/>
      <c r="Q31" s="717"/>
      <c r="R31" s="717"/>
      <c r="S31" s="717"/>
      <c r="T31" s="717"/>
      <c r="U31" s="14" t="s">
        <v>979</v>
      </c>
      <c r="V31" s="14" t="s">
        <v>980</v>
      </c>
      <c r="W31" s="14"/>
      <c r="X31" s="14"/>
      <c r="Y31" s="88" t="s">
        <v>981</v>
      </c>
      <c r="Z31" s="14" t="s">
        <v>982</v>
      </c>
      <c r="AA31" s="14"/>
      <c r="AB31" s="14"/>
      <c r="AC31" s="14"/>
      <c r="AD31" s="14"/>
      <c r="AE31" s="14"/>
      <c r="AF31" s="14"/>
    </row>
    <row r="32" ht="15.75" customHeight="1">
      <c r="A32" s="713" t="s">
        <v>826</v>
      </c>
      <c r="B32" s="14" t="s">
        <v>983</v>
      </c>
      <c r="C32" s="713" t="s">
        <v>896</v>
      </c>
      <c r="D32" s="14" t="s">
        <v>984</v>
      </c>
      <c r="E32" s="14" t="s">
        <v>866</v>
      </c>
      <c r="F32" s="14" t="s">
        <v>985</v>
      </c>
      <c r="G32" s="14"/>
      <c r="H32" s="14" t="s">
        <v>986</v>
      </c>
      <c r="I32" s="14" t="s">
        <v>987</v>
      </c>
      <c r="J32" s="138">
        <v>0.0013</v>
      </c>
      <c r="K32" s="14"/>
      <c r="L32" s="14" t="s">
        <v>70</v>
      </c>
      <c r="M32" s="14" t="s">
        <v>988</v>
      </c>
      <c r="N32" s="14"/>
      <c r="O32" s="14"/>
      <c r="P32" s="14"/>
      <c r="Q32" s="14"/>
      <c r="R32" s="14"/>
      <c r="S32" s="14"/>
      <c r="T32" s="14"/>
      <c r="U32" s="14" t="s">
        <v>989</v>
      </c>
      <c r="V32" s="14" t="s">
        <v>870</v>
      </c>
      <c r="W32" s="14"/>
      <c r="X32" s="14"/>
      <c r="Y32" s="88" t="s">
        <v>990</v>
      </c>
      <c r="Z32" s="14"/>
      <c r="AA32" s="14"/>
      <c r="AB32" s="14"/>
      <c r="AC32" s="14"/>
      <c r="AD32" s="14"/>
      <c r="AE32" s="14"/>
      <c r="AF32" s="14"/>
    </row>
    <row r="33" ht="15.75" customHeight="1">
      <c r="A33" s="713" t="s">
        <v>826</v>
      </c>
      <c r="B33" s="14" t="s">
        <v>991</v>
      </c>
      <c r="C33" s="713" t="s">
        <v>992</v>
      </c>
      <c r="D33" s="14" t="s">
        <v>993</v>
      </c>
      <c r="E33" s="14" t="s">
        <v>994</v>
      </c>
      <c r="F33" s="14" t="s">
        <v>70</v>
      </c>
      <c r="G33" s="14"/>
      <c r="H33" s="14" t="s">
        <v>995</v>
      </c>
      <c r="I33" s="719">
        <v>0.806</v>
      </c>
      <c r="J33" s="18">
        <f t="shared" ref="J33:J41" si="2">I33/L33</f>
        <v>0.0004461666205</v>
      </c>
      <c r="K33" s="14"/>
      <c r="L33" s="47">
        <v>1806.5</v>
      </c>
      <c r="M33" s="14" t="s">
        <v>958</v>
      </c>
      <c r="N33" s="14"/>
      <c r="O33" s="14"/>
      <c r="P33" s="14"/>
      <c r="Q33" s="14"/>
      <c r="R33" s="14"/>
      <c r="S33" s="14"/>
      <c r="T33" s="14"/>
      <c r="U33" s="14" t="s">
        <v>996</v>
      </c>
      <c r="V33" s="14" t="s">
        <v>997</v>
      </c>
      <c r="W33" s="14"/>
      <c r="X33" s="14"/>
      <c r="Y33" s="88" t="s">
        <v>998</v>
      </c>
      <c r="Z33" s="14" t="s">
        <v>999</v>
      </c>
      <c r="AA33" s="14"/>
      <c r="AB33" s="14"/>
      <c r="AC33" s="14"/>
      <c r="AD33" s="14"/>
      <c r="AE33" s="14"/>
      <c r="AF33" s="14"/>
    </row>
    <row r="34" ht="15.75" customHeight="1">
      <c r="A34" s="713" t="s">
        <v>826</v>
      </c>
      <c r="B34" s="14" t="s">
        <v>1000</v>
      </c>
      <c r="C34" s="713" t="s">
        <v>992</v>
      </c>
      <c r="D34" s="14" t="s">
        <v>865</v>
      </c>
      <c r="E34" s="14" t="s">
        <v>1001</v>
      </c>
      <c r="F34" s="14" t="s">
        <v>70</v>
      </c>
      <c r="G34" s="14"/>
      <c r="H34" s="14" t="s">
        <v>1002</v>
      </c>
      <c r="I34" s="719">
        <v>5.81</v>
      </c>
      <c r="J34" s="18">
        <f t="shared" si="2"/>
        <v>0.002072927073</v>
      </c>
      <c r="K34" s="14"/>
      <c r="L34" s="47">
        <v>2802.8</v>
      </c>
      <c r="M34" s="14" t="s">
        <v>958</v>
      </c>
      <c r="N34" s="14"/>
      <c r="O34" s="14"/>
      <c r="P34" s="14"/>
      <c r="Q34" s="14"/>
      <c r="R34" s="14"/>
      <c r="S34" s="14"/>
      <c r="T34" s="14"/>
      <c r="U34" s="14" t="s">
        <v>1003</v>
      </c>
      <c r="V34" s="14" t="s">
        <v>1004</v>
      </c>
      <c r="W34" s="14"/>
      <c r="X34" s="14"/>
      <c r="Y34" s="88" t="s">
        <v>1005</v>
      </c>
      <c r="Z34" s="14" t="s">
        <v>1006</v>
      </c>
      <c r="AA34" s="14"/>
      <c r="AB34" s="14"/>
      <c r="AC34" s="14"/>
      <c r="AD34" s="14"/>
      <c r="AE34" s="14"/>
      <c r="AF34" s="14"/>
    </row>
    <row r="35" ht="15.75" customHeight="1">
      <c r="A35" s="713" t="s">
        <v>826</v>
      </c>
      <c r="B35" s="14" t="s">
        <v>1007</v>
      </c>
      <c r="C35" s="713" t="s">
        <v>1008</v>
      </c>
      <c r="D35" s="14" t="s">
        <v>92</v>
      </c>
      <c r="E35" s="14" t="s">
        <v>70</v>
      </c>
      <c r="F35" s="14" t="s">
        <v>1009</v>
      </c>
      <c r="G35" s="14"/>
      <c r="H35" s="14" t="s">
        <v>1010</v>
      </c>
      <c r="I35" s="717" t="s">
        <v>70</v>
      </c>
      <c r="J35" s="18" t="str">
        <f t="shared" si="2"/>
        <v>#VALUE!</v>
      </c>
      <c r="K35" s="717"/>
      <c r="L35" s="717"/>
      <c r="M35" s="717" t="s">
        <v>988</v>
      </c>
      <c r="N35" s="717"/>
      <c r="O35" s="717"/>
      <c r="P35" s="717"/>
      <c r="Q35" s="717"/>
      <c r="R35" s="717"/>
      <c r="S35" s="717"/>
      <c r="T35" s="717"/>
      <c r="U35" s="14" t="s">
        <v>1011</v>
      </c>
      <c r="V35" s="14" t="s">
        <v>1012</v>
      </c>
      <c r="W35" s="14"/>
      <c r="X35" s="14"/>
      <c r="Y35" s="88" t="s">
        <v>1013</v>
      </c>
      <c r="Z35" s="14" t="s">
        <v>1014</v>
      </c>
      <c r="AA35" s="14"/>
      <c r="AB35" s="14"/>
      <c r="AC35" s="14"/>
      <c r="AD35" s="14"/>
      <c r="AE35" s="14"/>
      <c r="AF35" s="14"/>
    </row>
    <row r="36" ht="15.75" customHeight="1">
      <c r="A36" s="713" t="s">
        <v>826</v>
      </c>
      <c r="B36" s="14" t="s">
        <v>1015</v>
      </c>
      <c r="C36" s="713" t="s">
        <v>1016</v>
      </c>
      <c r="D36" s="14" t="s">
        <v>92</v>
      </c>
      <c r="E36" s="14" t="s">
        <v>1017</v>
      </c>
      <c r="F36" s="14" t="s">
        <v>70</v>
      </c>
      <c r="G36" s="14"/>
      <c r="H36" s="14" t="s">
        <v>1018</v>
      </c>
      <c r="I36" s="717" t="s">
        <v>70</v>
      </c>
      <c r="J36" s="18" t="str">
        <f t="shared" si="2"/>
        <v>#VALUE!</v>
      </c>
      <c r="K36" s="717"/>
      <c r="L36" s="717"/>
      <c r="M36" s="717"/>
      <c r="N36" s="717"/>
      <c r="O36" s="717"/>
      <c r="P36" s="717"/>
      <c r="Q36" s="717"/>
      <c r="R36" s="717"/>
      <c r="S36" s="717"/>
      <c r="T36" s="717"/>
      <c r="U36" s="14" t="s">
        <v>1019</v>
      </c>
      <c r="V36" s="14" t="s">
        <v>1020</v>
      </c>
      <c r="W36" s="14"/>
      <c r="X36" s="14"/>
      <c r="Y36" s="88" t="s">
        <v>1021</v>
      </c>
      <c r="Z36" s="14" t="s">
        <v>1022</v>
      </c>
      <c r="AA36" s="14"/>
      <c r="AB36" s="14"/>
      <c r="AC36" s="14"/>
      <c r="AD36" s="14"/>
      <c r="AE36" s="14"/>
      <c r="AF36" s="14"/>
    </row>
    <row r="37" ht="15.75" customHeight="1">
      <c r="A37" s="713" t="s">
        <v>826</v>
      </c>
      <c r="B37" s="14" t="s">
        <v>1023</v>
      </c>
      <c r="C37" s="713" t="s">
        <v>1024</v>
      </c>
      <c r="D37" s="14" t="s">
        <v>92</v>
      </c>
      <c r="E37" s="14" t="s">
        <v>1025</v>
      </c>
      <c r="F37" s="14" t="s">
        <v>70</v>
      </c>
      <c r="G37" s="14"/>
      <c r="H37" s="14" t="s">
        <v>1026</v>
      </c>
      <c r="I37" s="717" t="s">
        <v>70</v>
      </c>
      <c r="J37" s="18" t="str">
        <f t="shared" si="2"/>
        <v>#VALUE!</v>
      </c>
      <c r="K37" s="717"/>
      <c r="L37" s="717"/>
      <c r="M37" s="717" t="s">
        <v>1027</v>
      </c>
      <c r="N37" s="717"/>
      <c r="O37" s="717"/>
      <c r="P37" s="717"/>
      <c r="Q37" s="717"/>
      <c r="R37" s="717"/>
      <c r="S37" s="717"/>
      <c r="T37" s="717"/>
      <c r="U37" s="14" t="s">
        <v>1028</v>
      </c>
      <c r="V37" s="14" t="s">
        <v>1029</v>
      </c>
      <c r="W37" s="14"/>
      <c r="X37" s="14"/>
      <c r="Y37" s="88" t="s">
        <v>1030</v>
      </c>
      <c r="Z37" s="14" t="s">
        <v>1031</v>
      </c>
      <c r="AA37" s="14"/>
      <c r="AB37" s="14"/>
      <c r="AC37" s="14"/>
      <c r="AD37" s="14"/>
      <c r="AE37" s="14"/>
      <c r="AF37" s="14"/>
    </row>
    <row r="38" ht="15.75" customHeight="1">
      <c r="A38" s="713" t="s">
        <v>1032</v>
      </c>
      <c r="B38" s="14" t="s">
        <v>1033</v>
      </c>
      <c r="C38" s="14"/>
      <c r="D38" s="14" t="s">
        <v>1034</v>
      </c>
      <c r="E38" s="14" t="s">
        <v>1035</v>
      </c>
      <c r="F38" s="14" t="s">
        <v>70</v>
      </c>
      <c r="G38" s="14"/>
      <c r="H38" s="14" t="s">
        <v>1036</v>
      </c>
      <c r="I38" s="719">
        <v>8.3</v>
      </c>
      <c r="J38" s="18">
        <f t="shared" si="2"/>
        <v>0.01134809954</v>
      </c>
      <c r="K38" s="14"/>
      <c r="L38" s="14">
        <v>731.4</v>
      </c>
      <c r="M38" s="14"/>
      <c r="N38" s="14"/>
      <c r="O38" s="14"/>
      <c r="P38" s="14"/>
      <c r="Q38" s="14"/>
      <c r="R38" s="14"/>
      <c r="S38" s="14"/>
      <c r="T38" s="14"/>
      <c r="U38" s="14" t="s">
        <v>1037</v>
      </c>
      <c r="V38" s="14" t="s">
        <v>1038</v>
      </c>
      <c r="W38" s="14"/>
      <c r="X38" s="14"/>
      <c r="Y38" s="88" t="s">
        <v>1039</v>
      </c>
      <c r="Z38" s="14" t="s">
        <v>1040</v>
      </c>
      <c r="AA38" s="14"/>
      <c r="AB38" s="14"/>
      <c r="AC38" s="14"/>
      <c r="AD38" s="14"/>
      <c r="AE38" s="14"/>
      <c r="AF38" s="14"/>
    </row>
    <row r="39" ht="15.75" customHeight="1">
      <c r="A39" s="713" t="s">
        <v>1032</v>
      </c>
      <c r="B39" s="14" t="s">
        <v>1041</v>
      </c>
      <c r="C39" s="14"/>
      <c r="D39" s="14" t="s">
        <v>1042</v>
      </c>
      <c r="E39" s="14" t="s">
        <v>1043</v>
      </c>
      <c r="F39" s="14" t="s">
        <v>1044</v>
      </c>
      <c r="G39" s="14"/>
      <c r="H39" s="14" t="s">
        <v>1045</v>
      </c>
      <c r="I39" s="717" t="s">
        <v>1046</v>
      </c>
      <c r="J39" s="18" t="str">
        <f t="shared" si="2"/>
        <v>#VALUE!</v>
      </c>
      <c r="K39" s="717"/>
      <c r="L39" s="717"/>
      <c r="M39" s="717"/>
      <c r="N39" s="717"/>
      <c r="O39" s="717"/>
      <c r="P39" s="717"/>
      <c r="Q39" s="717"/>
      <c r="R39" s="717"/>
      <c r="S39" s="717"/>
      <c r="T39" s="717"/>
      <c r="U39" s="727" t="s">
        <v>1047</v>
      </c>
      <c r="V39" s="14" t="s">
        <v>1048</v>
      </c>
      <c r="W39" s="14"/>
      <c r="X39" s="14"/>
      <c r="Y39" s="88" t="s">
        <v>1049</v>
      </c>
      <c r="Z39" s="727" t="s">
        <v>1050</v>
      </c>
      <c r="AA39" s="14"/>
      <c r="AB39" s="14"/>
      <c r="AC39" s="14"/>
      <c r="AD39" s="14"/>
      <c r="AE39" s="14"/>
      <c r="AF39" s="14"/>
    </row>
    <row r="40" ht="15.75" customHeight="1">
      <c r="A40" s="713" t="s">
        <v>1032</v>
      </c>
      <c r="B40" s="14" t="s">
        <v>1051</v>
      </c>
      <c r="C40" s="14"/>
      <c r="D40" s="14" t="s">
        <v>1052</v>
      </c>
      <c r="E40" s="14" t="s">
        <v>1043</v>
      </c>
      <c r="F40" s="14" t="s">
        <v>1053</v>
      </c>
      <c r="G40" s="14"/>
      <c r="H40" s="14" t="s">
        <v>1054</v>
      </c>
      <c r="I40" s="728">
        <v>1.302</v>
      </c>
      <c r="J40" s="18">
        <f t="shared" si="2"/>
        <v>0.00678125</v>
      </c>
      <c r="K40" s="14"/>
      <c r="L40" s="14">
        <v>192.0</v>
      </c>
      <c r="M40" s="14"/>
      <c r="N40" s="14"/>
      <c r="O40" s="14"/>
      <c r="P40" s="14"/>
      <c r="Q40" s="14"/>
      <c r="R40" s="14"/>
      <c r="S40" s="14"/>
      <c r="T40" s="14"/>
      <c r="U40" s="14" t="s">
        <v>70</v>
      </c>
      <c r="V40" s="14" t="s">
        <v>1048</v>
      </c>
      <c r="W40" s="14"/>
      <c r="X40" s="14"/>
      <c r="Y40" s="88" t="s">
        <v>1055</v>
      </c>
      <c r="Z40" s="14"/>
      <c r="AA40" s="14"/>
      <c r="AB40" s="14"/>
      <c r="AC40" s="14"/>
      <c r="AD40" s="14"/>
      <c r="AE40" s="14"/>
      <c r="AF40" s="14"/>
    </row>
    <row r="41" ht="15.75" customHeight="1">
      <c r="A41" s="713"/>
      <c r="B41" s="14"/>
      <c r="C41" s="14"/>
      <c r="D41" s="14" t="s">
        <v>1056</v>
      </c>
      <c r="E41" s="14"/>
      <c r="F41" s="14"/>
      <c r="G41" s="14"/>
      <c r="H41" s="14" t="s">
        <v>1057</v>
      </c>
      <c r="I41" s="723">
        <v>0.64261</v>
      </c>
      <c r="J41" s="18">
        <f t="shared" si="2"/>
        <v>0.01477264368</v>
      </c>
      <c r="K41" s="14"/>
      <c r="L41" s="14">
        <v>43.5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ht="15.75" customHeight="1">
      <c r="A42" s="713" t="s">
        <v>1032</v>
      </c>
      <c r="B42" s="14" t="s">
        <v>1058</v>
      </c>
      <c r="C42" s="14"/>
      <c r="D42" s="14" t="s">
        <v>833</v>
      </c>
      <c r="E42" s="14" t="s">
        <v>1059</v>
      </c>
      <c r="F42" s="14" t="s">
        <v>70</v>
      </c>
      <c r="G42" s="14"/>
      <c r="H42" s="18">
        <v>0.024</v>
      </c>
      <c r="I42" s="717" t="s">
        <v>1060</v>
      </c>
      <c r="J42" s="717"/>
      <c r="K42" s="717"/>
      <c r="L42" s="717"/>
      <c r="M42" s="717"/>
      <c r="N42" s="717"/>
      <c r="O42" s="717"/>
      <c r="P42" s="717"/>
      <c r="Q42" s="717"/>
      <c r="R42" s="717"/>
      <c r="S42" s="717"/>
      <c r="T42" s="717"/>
      <c r="U42" s="727" t="s">
        <v>1061</v>
      </c>
      <c r="V42" s="14" t="s">
        <v>1048</v>
      </c>
      <c r="W42" s="14"/>
      <c r="X42" s="14"/>
      <c r="Y42" s="88" t="s">
        <v>1062</v>
      </c>
      <c r="Z42" s="14"/>
      <c r="AA42" s="14"/>
      <c r="AB42" s="14"/>
      <c r="AC42" s="14"/>
      <c r="AD42" s="14"/>
      <c r="AE42" s="14"/>
      <c r="AF42" s="14"/>
    </row>
    <row r="43" ht="15.75" customHeight="1">
      <c r="A43" s="713" t="s">
        <v>1032</v>
      </c>
      <c r="B43" s="14" t="s">
        <v>1063</v>
      </c>
      <c r="C43" s="14"/>
      <c r="D43" s="14" t="s">
        <v>1064</v>
      </c>
      <c r="E43" s="14" t="s">
        <v>1065</v>
      </c>
      <c r="F43" s="14" t="s">
        <v>1066</v>
      </c>
      <c r="G43" s="14"/>
      <c r="H43" s="14" t="s">
        <v>1067</v>
      </c>
      <c r="I43" s="18">
        <v>0.016</v>
      </c>
      <c r="J43" s="18">
        <f t="shared" ref="J43:J49" si="3">I43*K43</f>
        <v>0.001376</v>
      </c>
      <c r="K43" s="18">
        <v>0.086</v>
      </c>
      <c r="L43" s="14"/>
      <c r="M43" s="14"/>
      <c r="N43" s="14"/>
      <c r="O43" s="14"/>
      <c r="P43" s="14"/>
      <c r="Q43" s="14"/>
      <c r="R43" s="14"/>
      <c r="S43" s="14"/>
      <c r="T43" s="14"/>
      <c r="U43" s="14" t="s">
        <v>70</v>
      </c>
      <c r="V43" s="14" t="s">
        <v>1048</v>
      </c>
      <c r="W43" s="14"/>
      <c r="X43" s="14"/>
      <c r="Y43" s="88" t="s">
        <v>1068</v>
      </c>
      <c r="Z43" s="14" t="s">
        <v>1069</v>
      </c>
      <c r="AA43" s="14"/>
      <c r="AB43" s="14"/>
      <c r="AC43" s="14"/>
      <c r="AD43" s="14"/>
      <c r="AE43" s="14"/>
      <c r="AF43" s="14"/>
    </row>
    <row r="44" ht="15.75" customHeight="1">
      <c r="A44" s="713" t="s">
        <v>1032</v>
      </c>
      <c r="B44" s="14" t="s">
        <v>1070</v>
      </c>
      <c r="C44" s="14"/>
      <c r="D44" s="14" t="s">
        <v>1071</v>
      </c>
      <c r="E44" s="14" t="s">
        <v>1072</v>
      </c>
      <c r="F44" s="14" t="s">
        <v>1073</v>
      </c>
      <c r="G44" s="14"/>
      <c r="H44" s="14" t="s">
        <v>1074</v>
      </c>
      <c r="I44" s="18">
        <v>0.023</v>
      </c>
      <c r="J44" s="18">
        <f t="shared" si="3"/>
        <v>0.002162</v>
      </c>
      <c r="K44" s="18">
        <v>0.094</v>
      </c>
      <c r="L44" s="14"/>
      <c r="M44" s="14"/>
      <c r="N44" s="14"/>
      <c r="O44" s="14"/>
      <c r="P44" s="14"/>
      <c r="Q44" s="14"/>
      <c r="R44" s="14"/>
      <c r="S44" s="14"/>
      <c r="T44" s="14"/>
      <c r="U44" s="14" t="s">
        <v>1075</v>
      </c>
      <c r="V44" s="14" t="s">
        <v>1048</v>
      </c>
      <c r="W44" s="14"/>
      <c r="X44" s="14"/>
      <c r="Y44" s="88" t="s">
        <v>1076</v>
      </c>
      <c r="Z44" s="14" t="s">
        <v>1069</v>
      </c>
      <c r="AA44" s="14"/>
      <c r="AB44" s="14"/>
      <c r="AC44" s="14"/>
      <c r="AD44" s="14"/>
      <c r="AE44" s="14"/>
      <c r="AF44" s="14"/>
    </row>
    <row r="45" ht="15.75" customHeight="1">
      <c r="A45" s="713" t="s">
        <v>1032</v>
      </c>
      <c r="B45" s="14" t="s">
        <v>1077</v>
      </c>
      <c r="C45" s="14"/>
      <c r="D45" s="14" t="s">
        <v>1078</v>
      </c>
      <c r="E45" s="14" t="s">
        <v>1079</v>
      </c>
      <c r="F45" s="14" t="s">
        <v>1080</v>
      </c>
      <c r="G45" s="14"/>
      <c r="H45" s="14" t="s">
        <v>1081</v>
      </c>
      <c r="I45" s="18">
        <v>0.009</v>
      </c>
      <c r="J45" s="18">
        <f t="shared" si="3"/>
        <v>0.000891</v>
      </c>
      <c r="K45" s="18">
        <v>0.099</v>
      </c>
      <c r="L45" s="14"/>
      <c r="M45" s="14"/>
      <c r="N45" s="14"/>
      <c r="O45" s="14"/>
      <c r="P45" s="14"/>
      <c r="Q45" s="14"/>
      <c r="R45" s="14"/>
      <c r="S45" s="14"/>
      <c r="T45" s="14"/>
      <c r="U45" s="14" t="s">
        <v>1082</v>
      </c>
      <c r="V45" s="14" t="s">
        <v>1048</v>
      </c>
      <c r="W45" s="14"/>
      <c r="X45" s="14"/>
      <c r="Y45" s="88" t="s">
        <v>1083</v>
      </c>
      <c r="Z45" s="14" t="s">
        <v>1069</v>
      </c>
      <c r="AA45" s="14"/>
      <c r="AB45" s="14"/>
      <c r="AC45" s="14"/>
      <c r="AD45" s="14"/>
      <c r="AE45" s="14"/>
      <c r="AF45" s="14"/>
    </row>
    <row r="46" ht="15.75" customHeight="1">
      <c r="A46" s="713" t="s">
        <v>1032</v>
      </c>
      <c r="B46" s="14" t="s">
        <v>1084</v>
      </c>
      <c r="C46" s="14"/>
      <c r="D46" s="14" t="s">
        <v>1085</v>
      </c>
      <c r="E46" s="14" t="s">
        <v>1086</v>
      </c>
      <c r="F46" s="14" t="s">
        <v>70</v>
      </c>
      <c r="G46" s="14"/>
      <c r="H46" s="14" t="s">
        <v>1087</v>
      </c>
      <c r="I46" s="18">
        <v>0.025</v>
      </c>
      <c r="J46" s="18">
        <f t="shared" si="3"/>
        <v>0.001775</v>
      </c>
      <c r="K46" s="18">
        <v>0.071</v>
      </c>
      <c r="L46" s="14"/>
      <c r="M46" s="14"/>
      <c r="N46" s="14"/>
      <c r="O46" s="14"/>
      <c r="P46" s="14"/>
      <c r="Q46" s="14"/>
      <c r="R46" s="14"/>
      <c r="S46" s="14"/>
      <c r="T46" s="14"/>
      <c r="U46" s="14" t="s">
        <v>1082</v>
      </c>
      <c r="V46" s="14" t="s">
        <v>1048</v>
      </c>
      <c r="W46" s="14"/>
      <c r="X46" s="14"/>
      <c r="Y46" s="88" t="s">
        <v>1088</v>
      </c>
      <c r="Z46" s="14" t="s">
        <v>1069</v>
      </c>
      <c r="AA46" s="14"/>
      <c r="AB46" s="14"/>
      <c r="AC46" s="14"/>
      <c r="AD46" s="14"/>
      <c r="AE46" s="14"/>
      <c r="AF46" s="14"/>
    </row>
    <row r="47" ht="15.75" customHeight="1">
      <c r="A47" s="713" t="s">
        <v>1032</v>
      </c>
      <c r="B47" s="14" t="s">
        <v>1089</v>
      </c>
      <c r="C47" s="14"/>
      <c r="D47" s="14" t="s">
        <v>1090</v>
      </c>
      <c r="E47" s="14" t="s">
        <v>1091</v>
      </c>
      <c r="F47" s="14" t="s">
        <v>1092</v>
      </c>
      <c r="G47" s="14"/>
      <c r="H47" s="14" t="s">
        <v>1093</v>
      </c>
      <c r="I47" s="18">
        <v>0.0145</v>
      </c>
      <c r="J47" s="18">
        <f t="shared" si="3"/>
        <v>0.001479</v>
      </c>
      <c r="K47" s="18">
        <v>0.102</v>
      </c>
      <c r="L47" s="14"/>
      <c r="M47" s="14"/>
      <c r="N47" s="14"/>
      <c r="O47" s="14"/>
      <c r="P47" s="14"/>
      <c r="Q47" s="14"/>
      <c r="R47" s="14"/>
      <c r="S47" s="14"/>
      <c r="T47" s="14"/>
      <c r="U47" s="14" t="s">
        <v>70</v>
      </c>
      <c r="V47" s="14" t="s">
        <v>1048</v>
      </c>
      <c r="W47" s="14"/>
      <c r="X47" s="14"/>
      <c r="Y47" s="88" t="s">
        <v>1094</v>
      </c>
      <c r="Z47" s="14" t="s">
        <v>1069</v>
      </c>
      <c r="AA47" s="14"/>
      <c r="AB47" s="14"/>
      <c r="AC47" s="14"/>
      <c r="AD47" s="14"/>
      <c r="AE47" s="14"/>
      <c r="AF47" s="14"/>
    </row>
    <row r="48" ht="15.75" customHeight="1">
      <c r="A48" s="713" t="s">
        <v>1032</v>
      </c>
      <c r="B48" s="14" t="s">
        <v>1095</v>
      </c>
      <c r="C48" s="14"/>
      <c r="D48" s="14" t="s">
        <v>1096</v>
      </c>
      <c r="E48" s="725" t="s">
        <v>1097</v>
      </c>
      <c r="F48" s="14" t="s">
        <v>1098</v>
      </c>
      <c r="G48" s="14"/>
      <c r="H48" s="729" t="s">
        <v>1099</v>
      </c>
      <c r="I48" s="18">
        <v>0.055</v>
      </c>
      <c r="J48" s="18">
        <f t="shared" si="3"/>
        <v>0</v>
      </c>
      <c r="K48" s="729"/>
      <c r="L48" s="729"/>
      <c r="M48" s="729"/>
      <c r="N48" s="729"/>
      <c r="O48" s="729"/>
      <c r="P48" s="729"/>
      <c r="Q48" s="729"/>
      <c r="R48" s="729"/>
      <c r="S48" s="729"/>
      <c r="T48" s="729"/>
      <c r="U48" s="727" t="s">
        <v>1100</v>
      </c>
      <c r="V48" s="14" t="s">
        <v>1048</v>
      </c>
      <c r="W48" s="14"/>
      <c r="X48" s="14"/>
      <c r="Y48" s="88" t="s">
        <v>1101</v>
      </c>
      <c r="Z48" s="14" t="s">
        <v>1069</v>
      </c>
      <c r="AA48" s="14"/>
      <c r="AB48" s="14"/>
      <c r="AC48" s="14"/>
      <c r="AD48" s="14"/>
      <c r="AE48" s="14"/>
      <c r="AF48" s="14"/>
    </row>
    <row r="49" ht="15.75" customHeight="1">
      <c r="A49" s="713" t="s">
        <v>1032</v>
      </c>
      <c r="B49" s="14" t="s">
        <v>1102</v>
      </c>
      <c r="C49" s="14"/>
      <c r="D49" s="14" t="s">
        <v>1103</v>
      </c>
      <c r="E49" s="14" t="s">
        <v>1104</v>
      </c>
      <c r="F49" s="14" t="s">
        <v>1053</v>
      </c>
      <c r="G49" s="14"/>
      <c r="H49" s="14" t="s">
        <v>1105</v>
      </c>
      <c r="I49" s="18">
        <v>0.057</v>
      </c>
      <c r="J49" s="18">
        <f t="shared" si="3"/>
        <v>0.007125</v>
      </c>
      <c r="K49" s="18">
        <v>0.125</v>
      </c>
      <c r="L49" s="14"/>
      <c r="M49" s="14"/>
      <c r="N49" s="14"/>
      <c r="O49" s="14"/>
      <c r="P49" s="14"/>
      <c r="Q49" s="14"/>
      <c r="R49" s="14"/>
      <c r="S49" s="14"/>
      <c r="T49" s="14"/>
      <c r="U49" s="14" t="s">
        <v>1106</v>
      </c>
      <c r="V49" s="14" t="s">
        <v>1048</v>
      </c>
      <c r="W49" s="14"/>
      <c r="X49" s="14"/>
      <c r="Y49" s="88" t="s">
        <v>1107</v>
      </c>
      <c r="Z49" s="14" t="s">
        <v>1069</v>
      </c>
      <c r="AA49" s="14"/>
      <c r="AB49" s="14"/>
      <c r="AC49" s="14"/>
      <c r="AD49" s="14"/>
      <c r="AE49" s="14"/>
      <c r="AF49" s="14"/>
    </row>
    <row r="50" ht="15.75" customHeight="1">
      <c r="B50" s="14" t="s">
        <v>1108</v>
      </c>
      <c r="C50" s="14" t="s">
        <v>1109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88" t="s">
        <v>1110</v>
      </c>
      <c r="Z50" s="14"/>
      <c r="AA50" s="14"/>
      <c r="AB50" s="14"/>
      <c r="AC50" s="14"/>
      <c r="AD50" s="14"/>
      <c r="AE50" s="14"/>
      <c r="AF50" s="14"/>
    </row>
    <row r="51" ht="15.75" customHeight="1">
      <c r="A51" s="713"/>
      <c r="C51" s="14"/>
      <c r="D51" s="14"/>
      <c r="E51" s="14"/>
      <c r="F51" s="14"/>
      <c r="G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ht="15.75" customHeight="1">
      <c r="A52" s="14"/>
      <c r="B52" s="14" t="s">
        <v>1111</v>
      </c>
      <c r="C52" s="14" t="s">
        <v>1112</v>
      </c>
      <c r="D52" s="14" t="s">
        <v>1113</v>
      </c>
      <c r="E52" s="14"/>
      <c r="F52" s="14"/>
      <c r="G52" s="14"/>
      <c r="H52" s="14" t="s">
        <v>1114</v>
      </c>
      <c r="I52" s="715">
        <v>2.74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88" t="s">
        <v>1115</v>
      </c>
      <c r="Z52" s="14"/>
      <c r="AA52" s="14"/>
      <c r="AB52" s="14"/>
      <c r="AC52" s="14"/>
      <c r="AD52" s="14"/>
      <c r="AE52" s="14"/>
      <c r="AF52" s="14"/>
    </row>
    <row r="53" ht="15.75" customHeight="1">
      <c r="A53" s="14"/>
      <c r="B53" s="14" t="s">
        <v>1116</v>
      </c>
      <c r="C53" s="14"/>
      <c r="D53" s="14" t="s">
        <v>1117</v>
      </c>
      <c r="E53" s="14"/>
      <c r="F53" s="14"/>
      <c r="G53" s="14"/>
      <c r="H53" s="145">
        <f>2.935+2.155</f>
        <v>5.09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ht="15.75" customHeight="1">
      <c r="A54" s="14"/>
      <c r="B54" s="14" t="s">
        <v>1118</v>
      </c>
      <c r="C54" s="14"/>
      <c r="D54" s="14" t="s">
        <v>1119</v>
      </c>
      <c r="E54" s="14"/>
      <c r="F54" s="14"/>
      <c r="G54" s="14"/>
      <c r="I54" s="14"/>
      <c r="J54" s="18">
        <v>0.003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ht="15.75" customHeight="1">
      <c r="A55" s="14"/>
      <c r="B55" s="14" t="s">
        <v>1120</v>
      </c>
      <c r="C55" s="14">
        <v>2002.0</v>
      </c>
      <c r="D55" s="14" t="s">
        <v>925</v>
      </c>
      <c r="E55" s="14"/>
      <c r="F55" s="14"/>
      <c r="G55" s="14"/>
      <c r="H55" s="14">
        <v>10.436</v>
      </c>
      <c r="I55" s="14"/>
      <c r="J55" s="18">
        <f t="shared" ref="J55:J62" si="4">H55/L55</f>
        <v>0.004723881948</v>
      </c>
      <c r="L55" s="47">
        <v>2209.2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ht="15.75" customHeight="1">
      <c r="A56" s="14"/>
      <c r="B56" s="14"/>
      <c r="C56" s="14"/>
      <c r="D56" s="14" t="s">
        <v>1121</v>
      </c>
      <c r="E56" s="14"/>
      <c r="F56" s="14"/>
      <c r="G56" s="14"/>
      <c r="H56" s="14">
        <v>4.748</v>
      </c>
      <c r="I56" s="14"/>
      <c r="J56" s="18">
        <f t="shared" si="4"/>
        <v>0.003528013078</v>
      </c>
      <c r="L56" s="47">
        <v>1345.8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ht="15.75" customHeight="1">
      <c r="A57" s="14"/>
      <c r="B57" s="14"/>
      <c r="C57" s="14"/>
      <c r="D57" s="14" t="s">
        <v>1122</v>
      </c>
      <c r="E57" s="14"/>
      <c r="F57" s="14"/>
      <c r="G57" s="14"/>
      <c r="H57" s="14">
        <v>5.435</v>
      </c>
      <c r="I57" s="14"/>
      <c r="J57" s="18">
        <f t="shared" si="4"/>
        <v>0.003171870441</v>
      </c>
      <c r="L57" s="47">
        <v>1713.5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ht="15.75" customHeight="1">
      <c r="A58" s="14"/>
      <c r="B58" s="14"/>
      <c r="C58" s="14"/>
      <c r="D58" s="14" t="s">
        <v>1123</v>
      </c>
      <c r="E58" s="14"/>
      <c r="F58" s="14"/>
      <c r="G58" s="14"/>
      <c r="H58" s="14">
        <v>4.324</v>
      </c>
      <c r="I58" s="14"/>
      <c r="J58" s="18">
        <f t="shared" si="4"/>
        <v>0.002712162077</v>
      </c>
      <c r="L58" s="47">
        <v>1594.3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ht="15.75" customHeight="1">
      <c r="A59" s="14"/>
      <c r="B59" s="14"/>
      <c r="C59" s="14"/>
      <c r="D59" s="14" t="s">
        <v>1124</v>
      </c>
      <c r="E59" s="14"/>
      <c r="F59" s="14"/>
      <c r="G59" s="14"/>
      <c r="H59" s="14">
        <v>1.989</v>
      </c>
      <c r="I59" s="14"/>
      <c r="J59" s="18">
        <f t="shared" si="4"/>
        <v>0.002654477512</v>
      </c>
      <c r="L59" s="14">
        <v>749.3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ht="15.75" customHeight="1">
      <c r="A60" s="14"/>
      <c r="B60" s="14"/>
      <c r="C60" s="14"/>
      <c r="D60" s="14" t="s">
        <v>1125</v>
      </c>
      <c r="E60" s="14"/>
      <c r="F60" s="14"/>
      <c r="G60" s="14"/>
      <c r="H60" s="14">
        <v>0.916</v>
      </c>
      <c r="I60" s="14"/>
      <c r="J60" s="18">
        <f t="shared" si="4"/>
        <v>0.004040582267</v>
      </c>
      <c r="L60" s="14">
        <v>226.7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ht="15.75" customHeight="1">
      <c r="A61" s="14"/>
      <c r="B61" s="14"/>
      <c r="C61" s="14"/>
      <c r="D61" s="14" t="s">
        <v>1126</v>
      </c>
      <c r="E61" s="14"/>
      <c r="F61" s="14"/>
      <c r="G61" s="14"/>
      <c r="H61" s="14">
        <v>0.887</v>
      </c>
      <c r="I61" s="14"/>
      <c r="J61" s="18">
        <f t="shared" si="4"/>
        <v>0.001793731041</v>
      </c>
      <c r="L61" s="14">
        <v>494.5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</row>
    <row r="62" ht="15.75" customHeight="1">
      <c r="A62" s="14"/>
      <c r="B62" s="14"/>
      <c r="C62" s="14"/>
      <c r="D62" s="14" t="s">
        <v>1127</v>
      </c>
      <c r="E62" s="14"/>
      <c r="F62" s="14"/>
      <c r="G62" s="14"/>
      <c r="H62" s="14">
        <v>0.863</v>
      </c>
      <c r="I62" s="14"/>
      <c r="J62" s="18">
        <f t="shared" si="4"/>
        <v>0.004199513382</v>
      </c>
      <c r="L62" s="14">
        <v>205.5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</row>
    <row r="63" ht="15.75" customHeight="1">
      <c r="A63" s="14"/>
      <c r="B63" s="14" t="s">
        <v>1128</v>
      </c>
      <c r="C63" s="14"/>
      <c r="D63" s="14" t="s">
        <v>1129</v>
      </c>
      <c r="E63" s="14"/>
      <c r="F63" s="14"/>
      <c r="G63" s="14"/>
      <c r="H63" s="14" t="s">
        <v>1130</v>
      </c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  <row r="64" ht="15.75" customHeight="1">
      <c r="A64" s="14"/>
      <c r="B64" s="14" t="s">
        <v>1131</v>
      </c>
      <c r="C64" s="14"/>
      <c r="D64" s="14" t="s">
        <v>1132</v>
      </c>
      <c r="E64" s="14"/>
      <c r="F64" s="14"/>
      <c r="G64" s="14"/>
      <c r="H64" s="14" t="s">
        <v>1133</v>
      </c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</row>
    <row r="65" ht="15.75" customHeight="1">
      <c r="A65" s="14"/>
      <c r="B65" s="14"/>
      <c r="C65" s="14"/>
      <c r="D65" s="14" t="s">
        <v>1134</v>
      </c>
      <c r="E65" s="14"/>
      <c r="F65" s="14"/>
      <c r="G65" s="14"/>
      <c r="H65" s="14" t="s">
        <v>1135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</row>
    <row r="66" ht="15.75" customHeight="1">
      <c r="A66" s="14"/>
      <c r="B66" s="14"/>
      <c r="C66" s="14"/>
      <c r="D66" s="14"/>
      <c r="E66" s="14"/>
      <c r="F66" s="14"/>
      <c r="G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ht="15.75" customHeight="1">
      <c r="A67" s="14"/>
      <c r="B67" s="14"/>
      <c r="C67" s="14"/>
      <c r="D67" s="14"/>
      <c r="E67" s="14"/>
      <c r="F67" s="14"/>
      <c r="G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ht="15.75" customHeight="1">
      <c r="A68" s="14"/>
      <c r="B68" s="14"/>
      <c r="C68" s="14"/>
      <c r="D68" s="14"/>
      <c r="E68" s="14"/>
      <c r="F68" s="14"/>
      <c r="G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ht="15.75" customHeight="1">
      <c r="A69" s="14"/>
      <c r="B69" s="14"/>
      <c r="C69" s="14"/>
      <c r="D69" s="14"/>
      <c r="E69" s="14"/>
      <c r="F69" s="14"/>
      <c r="G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ht="15.75" customHeight="1">
      <c r="A70" s="14"/>
      <c r="B70" s="14"/>
      <c r="C70" s="14"/>
      <c r="D70" s="14"/>
      <c r="E70" s="14"/>
      <c r="F70" s="14"/>
      <c r="G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ht="15.75" customHeight="1">
      <c r="A71" s="14"/>
      <c r="B71" s="14"/>
      <c r="C71" s="14"/>
      <c r="D71" s="14"/>
      <c r="E71" s="14"/>
      <c r="F71" s="14"/>
      <c r="G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ht="15.75" customHeight="1">
      <c r="A72" s="14"/>
      <c r="B72" s="14"/>
      <c r="C72" s="14"/>
      <c r="D72" s="14"/>
      <c r="E72" s="14"/>
      <c r="F72" s="14"/>
      <c r="G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ht="15.75" customHeight="1">
      <c r="A73" s="14"/>
      <c r="B73" s="14"/>
      <c r="C73" s="14"/>
      <c r="D73" s="14"/>
      <c r="E73" s="14"/>
      <c r="F73" s="14"/>
      <c r="G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ht="15.75" customHeight="1">
      <c r="A74" s="14"/>
      <c r="B74" s="14"/>
      <c r="C74" s="14"/>
      <c r="D74" s="14"/>
      <c r="E74" s="14"/>
      <c r="F74" s="14"/>
      <c r="G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ht="15.75" customHeight="1">
      <c r="A75" s="14"/>
      <c r="B75" s="14"/>
      <c r="C75" s="14"/>
      <c r="D75" s="14"/>
      <c r="E75" s="14"/>
      <c r="F75" s="14"/>
      <c r="G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ht="15.75" customHeight="1">
      <c r="A76" s="14"/>
      <c r="B76" s="14"/>
      <c r="C76" s="14"/>
      <c r="D76" s="14"/>
      <c r="E76" s="14"/>
      <c r="F76" s="14"/>
      <c r="G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ht="15.75" customHeight="1">
      <c r="A77" s="14"/>
      <c r="B77" s="14"/>
      <c r="C77" s="14"/>
      <c r="D77" s="14"/>
      <c r="E77" s="14"/>
      <c r="F77" s="14"/>
      <c r="G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  <row r="78" ht="15.75" customHeight="1">
      <c r="A78" s="14" t="s">
        <v>1136</v>
      </c>
      <c r="B78" s="14"/>
      <c r="C78" s="14"/>
      <c r="D78" s="14"/>
      <c r="E78" s="14"/>
      <c r="F78" s="14"/>
      <c r="G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</row>
    <row r="79" ht="15.75" customHeight="1">
      <c r="A79" s="14" t="s">
        <v>1137</v>
      </c>
      <c r="B79" s="18">
        <f>J32</f>
        <v>0.0013</v>
      </c>
      <c r="C79" s="14"/>
      <c r="D79" s="14"/>
      <c r="E79" s="14"/>
      <c r="F79" s="14"/>
      <c r="G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</row>
    <row r="80" ht="15.75" customHeight="1">
      <c r="A80" s="14" t="s">
        <v>905</v>
      </c>
      <c r="B80" s="18">
        <f>J21</f>
        <v>0.001631348191</v>
      </c>
      <c r="C80" s="14"/>
      <c r="D80" s="14"/>
      <c r="E80" s="14"/>
      <c r="F80" s="14"/>
      <c r="G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ht="15.75" customHeight="1">
      <c r="A81" s="14" t="s">
        <v>1138</v>
      </c>
      <c r="B81" s="18">
        <f>J55</f>
        <v>0.004723881948</v>
      </c>
      <c r="C81" s="14"/>
      <c r="D81" s="14"/>
      <c r="E81" s="14"/>
      <c r="F81" s="14"/>
      <c r="G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ht="15.75" customHeight="1">
      <c r="A82" s="14" t="s">
        <v>897</v>
      </c>
      <c r="B82" s="18">
        <f>J20</f>
        <v>0.02067630949</v>
      </c>
      <c r="C82" s="14"/>
      <c r="D82" s="14"/>
      <c r="E82" s="14"/>
      <c r="F82" s="14"/>
      <c r="G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</row>
    <row r="83" ht="15.75" customHeight="1">
      <c r="A83" s="14" t="s">
        <v>1064</v>
      </c>
      <c r="B83" s="18">
        <f t="shared" ref="B83:B84" si="5">J43</f>
        <v>0.001376</v>
      </c>
      <c r="E83" s="14"/>
      <c r="F83" s="14"/>
      <c r="G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</row>
    <row r="84" ht="15.75" customHeight="1">
      <c r="A84" s="14" t="s">
        <v>1071</v>
      </c>
      <c r="B84" s="18">
        <f t="shared" si="5"/>
        <v>0.002162</v>
      </c>
      <c r="E84" s="14"/>
      <c r="F84" s="14"/>
      <c r="G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</row>
    <row r="85" ht="15.75" customHeight="1">
      <c r="A85" s="14" t="s">
        <v>933</v>
      </c>
      <c r="B85" s="18">
        <f>J24</f>
        <v>0.01537152244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</row>
    <row r="86" ht="15.75" customHeight="1">
      <c r="A86" s="14" t="s">
        <v>1103</v>
      </c>
      <c r="B86" s="18">
        <f>J49</f>
        <v>0.007125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</row>
    <row r="87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</row>
    <row r="88" ht="15.75" customHeight="1">
      <c r="A88" s="88" t="str">
        <f>HYPERLINK("https://www.brookings.edu/blog/up-front/2014/12/12/obesity-costs-evident-at-the-state-level/","Costs of obesity per US States")</f>
        <v>Costs of obesity per US States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</row>
    <row r="89" ht="15.75" customHeight="1">
      <c r="A89" s="730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</row>
    <row r="90" ht="15.75" customHeight="1"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</row>
    <row r="91" ht="15.75" customHeight="1"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</row>
    <row r="92" ht="15.75" customHeight="1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</row>
    <row r="93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</row>
    <row r="94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</row>
    <row r="95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</row>
    <row r="9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</row>
    <row r="97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</row>
    <row r="98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</row>
    <row r="9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</row>
    <row r="100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</row>
    <row r="101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</row>
    <row r="102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</row>
    <row r="103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</row>
    <row r="104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</row>
    <row r="105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</row>
    <row r="10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</row>
    <row r="107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</row>
    <row r="108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</row>
    <row r="10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</row>
    <row r="11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</row>
    <row r="111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</row>
    <row r="11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</row>
    <row r="113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</row>
    <row r="114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</row>
    <row r="115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</row>
    <row r="11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</row>
    <row r="1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</row>
    <row r="1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</row>
    <row r="11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</row>
    <row r="12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</row>
    <row r="12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</row>
    <row r="12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</row>
    <row r="123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</row>
    <row r="12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</row>
    <row r="2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</row>
    <row r="22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</row>
    <row r="228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</row>
    <row r="229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</row>
    <row r="230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</row>
    <row r="231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</row>
    <row r="2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</row>
    <row r="233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</row>
    <row r="234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</row>
    <row r="235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</row>
    <row r="23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</row>
    <row r="238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</row>
    <row r="239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</row>
    <row r="240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</row>
    <row r="241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</row>
    <row r="24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</row>
    <row r="243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</row>
    <row r="244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</row>
    <row r="245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</row>
    <row r="24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</row>
    <row r="24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</row>
    <row r="248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</row>
    <row r="249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</row>
    <row r="251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</row>
    <row r="25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</row>
    <row r="253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</row>
    <row r="254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</row>
    <row r="255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</row>
    <row r="25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</row>
    <row r="25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</row>
    <row r="258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</row>
    <row r="259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</row>
    <row r="260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</row>
    <row r="261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</row>
    <row r="26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</row>
    <row r="264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</row>
    <row r="265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</row>
    <row r="26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</row>
    <row r="26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</row>
    <row r="268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</row>
    <row r="269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</row>
    <row r="270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</row>
    <row r="271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</row>
    <row r="27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</row>
    <row r="273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</row>
    <row r="274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</row>
    <row r="275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</row>
    <row r="277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</row>
    <row r="278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</row>
    <row r="279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</row>
    <row r="280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</row>
    <row r="281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</row>
    <row r="28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</row>
    <row r="283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</row>
    <row r="284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</row>
    <row r="285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</row>
    <row r="28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</row>
    <row r="287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</row>
    <row r="288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</row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hyperlinks>
    <hyperlink r:id="rId1" ref="Y2"/>
    <hyperlink r:id="rId2" ref="Y3"/>
    <hyperlink r:id="rId3" ref="Y4"/>
    <hyperlink r:id="rId4" ref="Y5"/>
    <hyperlink r:id="rId5" ref="Y7"/>
    <hyperlink r:id="rId6" ref="Y8"/>
    <hyperlink r:id="rId7" ref="Y13"/>
    <hyperlink r:id="rId8" ref="Y14"/>
    <hyperlink r:id="rId9" ref="Y15"/>
    <hyperlink r:id="rId10" ref="Y16"/>
    <hyperlink r:id="rId11" ref="Y17"/>
    <hyperlink r:id="rId12" ref="Y18"/>
    <hyperlink r:id="rId13" ref="Y19"/>
    <hyperlink r:id="rId14" ref="Y20"/>
    <hyperlink r:id="rId15" ref="Y21"/>
    <hyperlink r:id="rId16" ref="Y22"/>
    <hyperlink r:id="rId17" ref="Y23"/>
    <hyperlink r:id="rId18" ref="Y24"/>
    <hyperlink r:id="rId19" ref="Y25"/>
    <hyperlink r:id="rId20" ref="Y26"/>
    <hyperlink r:id="rId21" ref="Y27"/>
    <hyperlink r:id="rId22" ref="Y30"/>
    <hyperlink r:id="rId23" ref="Y31"/>
    <hyperlink r:id="rId24" ref="Y32"/>
    <hyperlink r:id="rId25" ref="Y33"/>
    <hyperlink r:id="rId26" ref="Y34"/>
    <hyperlink r:id="rId27" ref="Y35"/>
    <hyperlink r:id="rId28" ref="Y36"/>
    <hyperlink r:id="rId29" ref="Y37"/>
    <hyperlink r:id="rId30" ref="Y38"/>
    <hyperlink r:id="rId31" ref="Y39"/>
    <hyperlink r:id="rId32" ref="Y40"/>
    <hyperlink r:id="rId33" ref="Y42"/>
    <hyperlink r:id="rId34" ref="Y43"/>
    <hyperlink r:id="rId35" ref="Y44"/>
    <hyperlink r:id="rId36" ref="Y45"/>
    <hyperlink r:id="rId37" ref="Y46"/>
    <hyperlink r:id="rId38" ref="Y47"/>
    <hyperlink r:id="rId39" ref="Y48"/>
    <hyperlink r:id="rId40" ref="Y49"/>
    <hyperlink r:id="rId41" ref="Y50"/>
    <hyperlink r:id="rId42" ref="Y52"/>
  </hyperlinks>
  <printOptions/>
  <pageMargins bottom="0.787401575" footer="0.0" header="0.0" left="0.7" right="0.7" top="0.787401575"/>
  <pageSetup orientation="landscape"/>
  <drawing r:id="rId43"/>
</worksheet>
</file>